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данные'!$A$1:$J$23</definedName>
    <definedName name="_xlnm.Print_Area" localSheetId="2">'Расчет дотации'!#REF!</definedName>
  </definedNames>
  <calcPr calcId="125725" refMode="R1C1"/>
</workbook>
</file>

<file path=xl/calcChain.xml><?xml version="1.0" encoding="utf-8"?>
<calcChain xmlns="http://schemas.openxmlformats.org/spreadsheetml/2006/main">
  <c r="C7" i="2"/>
  <c r="D17" l="1"/>
  <c r="D16"/>
  <c r="D15"/>
  <c r="D14"/>
  <c r="D13"/>
  <c r="D12"/>
  <c r="D11"/>
  <c r="D10"/>
  <c r="D9"/>
  <c r="D8"/>
  <c r="D7"/>
  <c r="C17"/>
  <c r="C16"/>
  <c r="C15"/>
  <c r="C14"/>
  <c r="C13"/>
  <c r="C12"/>
  <c r="C11"/>
  <c r="C10"/>
  <c r="C9"/>
  <c r="C8"/>
  <c r="G17" l="1"/>
  <c r="G16"/>
  <c r="G15"/>
  <c r="G14"/>
  <c r="G13"/>
  <c r="G12"/>
  <c r="G11"/>
  <c r="G10"/>
  <c r="G9"/>
  <c r="G8"/>
  <c r="G7"/>
  <c r="D22" i="1" l="1"/>
  <c r="C22"/>
  <c r="I10" i="4"/>
  <c r="I11"/>
  <c r="I12"/>
  <c r="I13"/>
  <c r="I14"/>
  <c r="I15"/>
  <c r="I16"/>
  <c r="I17"/>
  <c r="I18"/>
  <c r="I19"/>
  <c r="H10"/>
  <c r="H11"/>
  <c r="H12"/>
  <c r="H13"/>
  <c r="H14"/>
  <c r="H15"/>
  <c r="H16"/>
  <c r="H17"/>
  <c r="H18"/>
  <c r="H19"/>
  <c r="G10"/>
  <c r="G11"/>
  <c r="G12"/>
  <c r="G13"/>
  <c r="G14"/>
  <c r="G15"/>
  <c r="G16"/>
  <c r="G17"/>
  <c r="G18"/>
  <c r="G19"/>
  <c r="I9" l="1"/>
  <c r="D20" l="1"/>
  <c r="E20"/>
  <c r="B7"/>
  <c r="C7" s="1"/>
  <c r="D7" s="1"/>
  <c r="E7" s="1"/>
  <c r="F7" s="1"/>
  <c r="G7" s="1"/>
  <c r="H7" s="1"/>
  <c r="I7" s="1"/>
  <c r="J7" s="1"/>
  <c r="K7" s="1"/>
  <c r="G9"/>
  <c r="G20" s="1"/>
  <c r="H9"/>
  <c r="B6" i="2"/>
  <c r="C6" s="1"/>
  <c r="D6" s="1"/>
  <c r="H20" i="4" l="1"/>
  <c r="L7"/>
  <c r="F20"/>
  <c r="E6" i="2"/>
  <c r="F6" s="1"/>
  <c r="G6" s="1"/>
  <c r="M7" i="4" l="1"/>
  <c r="N7" s="1"/>
  <c r="O7" s="1"/>
  <c r="P7" s="1"/>
  <c r="Q7" s="1"/>
  <c r="R7" s="1"/>
  <c r="S7" s="1"/>
  <c r="J20"/>
  <c r="K9"/>
  <c r="K14"/>
  <c r="K12"/>
  <c r="K17"/>
  <c r="K15"/>
  <c r="K11"/>
  <c r="K10"/>
  <c r="K16"/>
  <c r="K13"/>
  <c r="K19"/>
  <c r="K18"/>
  <c r="L18"/>
  <c r="L11"/>
  <c r="L15"/>
  <c r="L13"/>
  <c r="L10"/>
  <c r="L19"/>
  <c r="L12"/>
  <c r="L17"/>
  <c r="L14"/>
  <c r="L16"/>
  <c r="L9"/>
  <c r="L20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N20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O9"/>
  <c r="P9" s="1"/>
  <c r="P20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11"/>
  <c r="Q15"/>
  <c r="Q19"/>
  <c r="Q14"/>
  <c r="Q18"/>
  <c r="Q13"/>
  <c r="Q12"/>
  <c r="Q16"/>
  <c r="Q9"/>
  <c r="Q10"/>
  <c r="Q20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S20" l="1"/>
  <c r="BD7"/>
  <c r="BE7" s="1"/>
  <c r="BF7" s="1"/>
  <c r="BG7" s="1"/>
  <c r="BH7" s="1"/>
  <c r="BI7" s="1"/>
  <c r="R20"/>
  <c r="BJ7" l="1"/>
  <c r="BK7" s="1"/>
  <c r="BL7" s="1"/>
  <c r="BM7" s="1"/>
  <c r="BN7" s="1"/>
  <c r="BO7" s="1"/>
  <c r="U17" l="1"/>
  <c r="V17" s="1"/>
  <c r="BP7"/>
  <c r="BQ7" s="1"/>
  <c r="BR7" s="1"/>
  <c r="BS7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0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18"/>
  <c r="W16"/>
  <c r="W14"/>
  <c r="W12"/>
  <c r="W19"/>
  <c r="W15"/>
  <c r="W13"/>
  <c r="W11"/>
  <c r="W9"/>
  <c r="W10"/>
  <c r="W20" l="1"/>
  <c r="Z9"/>
  <c r="Z13"/>
  <c r="Z12"/>
  <c r="Z11"/>
  <c r="Z16"/>
  <c r="Z17"/>
  <c r="Z18"/>
  <c r="Z19"/>
  <c r="Z10"/>
  <c r="Z15"/>
  <c r="Z14"/>
  <c r="Y20" l="1"/>
  <c r="X20"/>
  <c r="AA9" l="1"/>
  <c r="AB9" s="1"/>
  <c r="AA17"/>
  <c r="AB17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0" l="1"/>
  <c r="AC17" l="1"/>
  <c r="AC19"/>
  <c r="AC14"/>
  <c r="AC12"/>
  <c r="AC15"/>
  <c r="AC9"/>
  <c r="AC18"/>
  <c r="AC13"/>
  <c r="AC10"/>
  <c r="AC16"/>
  <c r="AC11"/>
  <c r="AC20" l="1"/>
  <c r="AF16"/>
  <c r="AF9"/>
  <c r="AF12"/>
  <c r="AF19"/>
  <c r="AF15"/>
  <c r="AF10"/>
  <c r="AF18"/>
  <c r="AF17"/>
  <c r="AF11"/>
  <c r="AF13"/>
  <c r="AF14"/>
  <c r="AE20" l="1"/>
  <c r="AD20"/>
  <c r="AG17" l="1"/>
  <c r="AH17" s="1"/>
  <c r="AG10"/>
  <c r="AH10" s="1"/>
  <c r="AG18"/>
  <c r="AH18" s="1"/>
  <c r="AG12"/>
  <c r="AH12" s="1"/>
  <c r="AG16"/>
  <c r="AH16" s="1"/>
  <c r="AG13"/>
  <c r="AH13" s="1"/>
  <c r="AG14"/>
  <c r="AH14" s="1"/>
  <c r="AG19"/>
  <c r="AH19" s="1"/>
  <c r="AG11"/>
  <c r="AH11" s="1"/>
  <c r="AG9"/>
  <c r="AH9" s="1"/>
  <c r="AG15"/>
  <c r="AH15" s="1"/>
  <c r="AH20" l="1"/>
  <c r="AI17" l="1"/>
  <c r="AI19"/>
  <c r="AI14"/>
  <c r="AI15"/>
  <c r="AI16"/>
  <c r="AI13"/>
  <c r="AI10"/>
  <c r="AI9"/>
  <c r="AI11"/>
  <c r="AI18"/>
  <c r="AI12"/>
  <c r="AI20" l="1"/>
  <c r="AL12"/>
  <c r="AL13"/>
  <c r="AL14"/>
  <c r="AL15"/>
  <c r="AL10"/>
  <c r="AL16"/>
  <c r="AL17"/>
  <c r="AL11"/>
  <c r="AL19"/>
  <c r="AL18"/>
  <c r="AL9"/>
  <c r="AK20" l="1"/>
  <c r="AJ20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N20" l="1"/>
  <c r="AO17" l="1"/>
  <c r="AO16"/>
  <c r="AO9"/>
  <c r="AO15"/>
  <c r="AO19"/>
  <c r="AO18"/>
  <c r="AO14"/>
  <c r="AO11"/>
  <c r="AO10"/>
  <c r="AO13"/>
  <c r="AO12"/>
  <c r="AO20" l="1"/>
  <c r="AR13"/>
  <c r="AR19"/>
  <c r="AR16"/>
  <c r="AR9"/>
  <c r="AR15"/>
  <c r="AR17"/>
  <c r="AR11"/>
  <c r="AR18"/>
  <c r="AR12"/>
  <c r="AR10"/>
  <c r="AR14"/>
  <c r="AQ20" l="1"/>
  <c r="AP20"/>
  <c r="AS18" l="1"/>
  <c r="AT18" s="1"/>
  <c r="AS10"/>
  <c r="AT10" s="1"/>
  <c r="AS16"/>
  <c r="AT16" s="1"/>
  <c r="AS15"/>
  <c r="AT15" s="1"/>
  <c r="AS14"/>
  <c r="AT14" s="1"/>
  <c r="AS12"/>
  <c r="AT12" s="1"/>
  <c r="AS9"/>
  <c r="AT9" s="1"/>
  <c r="AS17"/>
  <c r="AT17" s="1"/>
  <c r="AS11"/>
  <c r="AT11" s="1"/>
  <c r="AS13"/>
  <c r="AT13" s="1"/>
  <c r="AS19"/>
  <c r="AT19" s="1"/>
  <c r="AT20" l="1"/>
  <c r="AU17" l="1"/>
  <c r="AU10"/>
  <c r="AU14"/>
  <c r="AU16"/>
  <c r="AU15"/>
  <c r="AU12"/>
  <c r="AU11"/>
  <c r="AU18"/>
  <c r="AU19"/>
  <c r="AU13"/>
  <c r="AU9"/>
  <c r="AU20" l="1"/>
  <c r="AX13"/>
  <c r="AX12"/>
  <c r="AX14"/>
  <c r="AX11"/>
  <c r="AX16"/>
  <c r="AX10"/>
  <c r="AX17"/>
  <c r="AX18"/>
  <c r="AX9"/>
  <c r="AX19"/>
  <c r="AX15"/>
  <c r="AW20" l="1"/>
  <c r="AV20"/>
  <c r="AY14" l="1"/>
  <c r="AZ14" s="1"/>
  <c r="AY16"/>
  <c r="AZ16" s="1"/>
  <c r="AY13"/>
  <c r="AZ13" s="1"/>
  <c r="AY12"/>
  <c r="AZ12" s="1"/>
  <c r="AY18"/>
  <c r="AZ18" s="1"/>
  <c r="AY10"/>
  <c r="AZ10" s="1"/>
  <c r="AY19"/>
  <c r="AZ19" s="1"/>
  <c r="AY11"/>
  <c r="AZ11" s="1"/>
  <c r="AY9"/>
  <c r="AZ9" s="1"/>
  <c r="AY15"/>
  <c r="AZ15" s="1"/>
  <c r="AY17"/>
  <c r="AZ17" s="1"/>
  <c r="AZ20" l="1"/>
  <c r="BA17" l="1"/>
  <c r="BA10"/>
  <c r="BA12"/>
  <c r="BA11"/>
  <c r="BA19"/>
  <c r="BA9"/>
  <c r="BA14"/>
  <c r="BA13"/>
  <c r="BA18"/>
  <c r="BA15"/>
  <c r="BA16"/>
  <c r="BA20" l="1"/>
  <c r="BD18"/>
  <c r="BD9"/>
  <c r="BD15"/>
  <c r="BD10"/>
  <c r="BD14"/>
  <c r="BD11"/>
  <c r="BD16"/>
  <c r="BD13"/>
  <c r="BD19"/>
  <c r="BD12"/>
  <c r="BD17"/>
  <c r="BC20" l="1"/>
  <c r="BB20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9"/>
  <c r="BF9" s="1"/>
  <c r="BE16"/>
  <c r="BF16" s="1"/>
  <c r="BE18"/>
  <c r="BF18" s="1"/>
  <c r="BF20" l="1"/>
  <c r="BG17" l="1"/>
  <c r="BG19"/>
  <c r="BG10"/>
  <c r="BG18"/>
  <c r="BG14"/>
  <c r="BG12"/>
  <c r="BG13"/>
  <c r="BG9"/>
  <c r="BG11"/>
  <c r="BG15"/>
  <c r="BG16"/>
  <c r="BG20" l="1"/>
  <c r="BJ14"/>
  <c r="BJ16"/>
  <c r="BJ9"/>
  <c r="BJ10"/>
  <c r="BJ17"/>
  <c r="BJ15"/>
  <c r="BJ12"/>
  <c r="BJ19"/>
  <c r="BJ11"/>
  <c r="BJ13"/>
  <c r="BJ18"/>
  <c r="BI20" l="1"/>
  <c r="BH20"/>
  <c r="BK14" l="1"/>
  <c r="BL14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0" l="1"/>
  <c r="BM17" l="1"/>
  <c r="BM9"/>
  <c r="BM12"/>
  <c r="BM19"/>
  <c r="BM13"/>
  <c r="BM10"/>
  <c r="BM11"/>
  <c r="BM16"/>
  <c r="BM15"/>
  <c r="BM14"/>
  <c r="BM18"/>
  <c r="BM20" l="1"/>
  <c r="BP16"/>
  <c r="BP19"/>
  <c r="BP18"/>
  <c r="BP13"/>
  <c r="BP10"/>
  <c r="BP9"/>
  <c r="BP17"/>
  <c r="BP15"/>
  <c r="BP14"/>
  <c r="BP11"/>
  <c r="BP12"/>
  <c r="BO20" l="1"/>
  <c r="BN20"/>
  <c r="BQ13" l="1"/>
  <c r="BR13" s="1"/>
  <c r="BQ12"/>
  <c r="BR12" s="1"/>
  <c r="BQ15"/>
  <c r="BR15" s="1"/>
  <c r="BQ14"/>
  <c r="BR14" s="1"/>
  <c r="BQ19"/>
  <c r="BR19" s="1"/>
  <c r="BQ10"/>
  <c r="BR10" s="1"/>
  <c r="BQ9"/>
  <c r="BR9" s="1"/>
  <c r="BQ17"/>
  <c r="BR17" s="1"/>
  <c r="BQ11"/>
  <c r="BR11" s="1"/>
  <c r="BQ16"/>
  <c r="BR16" s="1"/>
  <c r="BQ18"/>
  <c r="BR18" s="1"/>
  <c r="BR20" l="1"/>
  <c r="BS17" l="1"/>
  <c r="BS13"/>
  <c r="BS16"/>
  <c r="BS12"/>
  <c r="BS11"/>
  <c r="BS18"/>
  <c r="BS15"/>
  <c r="BS10"/>
  <c r="BS9"/>
  <c r="BS14"/>
  <c r="BS19"/>
  <c r="BS20" l="1"/>
  <c r="BT20" s="1"/>
  <c r="BV17"/>
  <c r="BV12"/>
  <c r="BV13"/>
  <c r="BV10"/>
  <c r="BV9"/>
  <c r="BV11"/>
  <c r="BV14"/>
  <c r="BV18"/>
  <c r="BV19"/>
  <c r="BV15"/>
  <c r="BV16"/>
  <c r="BU20" l="1"/>
  <c r="BW19" l="1"/>
  <c r="BX19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0" l="1"/>
  <c r="BY17" l="1"/>
  <c r="BY9"/>
  <c r="BY15"/>
  <c r="BY18"/>
  <c r="BY12"/>
  <c r="BY16"/>
  <c r="BY10"/>
  <c r="BY13"/>
  <c r="BY14"/>
  <c r="BY19"/>
  <c r="CB19" s="1"/>
  <c r="BY11"/>
  <c r="CB11" s="1"/>
  <c r="CB14" l="1"/>
  <c r="CB13"/>
  <c r="CB17"/>
  <c r="CB16"/>
  <c r="CB18"/>
  <c r="CB15"/>
  <c r="CB10"/>
  <c r="CB12"/>
  <c r="CB9"/>
  <c r="BY20"/>
  <c r="BZ20" s="1"/>
  <c r="CA20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18"/>
  <c r="CD18" s="1"/>
  <c r="CD20" l="1"/>
  <c r="CE9" s="1"/>
  <c r="CH9" l="1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E20"/>
  <c r="CF20" s="1"/>
  <c r="CG20" l="1"/>
  <c r="CI19" l="1"/>
  <c r="CJ19" s="1"/>
  <c r="CI14"/>
  <c r="CJ14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0" l="1"/>
  <c r="CK9" s="1"/>
  <c r="CN9" s="1"/>
  <c r="CK14" l="1"/>
  <c r="CN14" s="1"/>
  <c r="CK15"/>
  <c r="CN15" s="1"/>
  <c r="CK12"/>
  <c r="CN12" s="1"/>
  <c r="CK18"/>
  <c r="CN18" s="1"/>
  <c r="CK11"/>
  <c r="CN11" s="1"/>
  <c r="CK19"/>
  <c r="CN19" s="1"/>
  <c r="CK10"/>
  <c r="CN10" s="1"/>
  <c r="CK17"/>
  <c r="CN17" s="1"/>
  <c r="CK13"/>
  <c r="CN13" s="1"/>
  <c r="CK16"/>
  <c r="CN16" s="1"/>
  <c r="CK20" l="1"/>
  <c r="CL20" s="1"/>
  <c r="CM20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14"/>
  <c r="CP14" s="1"/>
  <c r="CP20" l="1"/>
  <c r="CQ17" s="1"/>
  <c r="CT17" s="1"/>
  <c r="CQ15" l="1"/>
  <c r="CT15" s="1"/>
  <c r="CQ11"/>
  <c r="CT11" s="1"/>
  <c r="CQ16"/>
  <c r="CT16" s="1"/>
  <c r="CQ9"/>
  <c r="CQ19"/>
  <c r="CT19" s="1"/>
  <c r="CQ13"/>
  <c r="CT13" s="1"/>
  <c r="CQ14"/>
  <c r="CT14" s="1"/>
  <c r="CQ10"/>
  <c r="CT10" s="1"/>
  <c r="CQ18"/>
  <c r="CT18" s="1"/>
  <c r="CQ12"/>
  <c r="CT12" s="1"/>
  <c r="CQ20" l="1"/>
  <c r="CR20" s="1"/>
  <c r="CT9"/>
  <c r="CS20" s="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20" l="1"/>
  <c r="CW9" s="1"/>
  <c r="CZ9" s="1"/>
  <c r="CW13" l="1"/>
  <c r="CZ13" s="1"/>
  <c r="CW11"/>
  <c r="CZ11" s="1"/>
  <c r="CW19"/>
  <c r="CZ19" s="1"/>
  <c r="CW12"/>
  <c r="CZ12" s="1"/>
  <c r="CW17"/>
  <c r="CZ17" s="1"/>
  <c r="CW14"/>
  <c r="CZ14" s="1"/>
  <c r="CW16"/>
  <c r="CZ16" s="1"/>
  <c r="CW10"/>
  <c r="CZ10" s="1"/>
  <c r="CW15"/>
  <c r="CZ15" s="1"/>
  <c r="CW18"/>
  <c r="CZ18" s="1"/>
  <c r="CW20" l="1"/>
  <c r="CX20" s="1"/>
  <c r="CY20"/>
  <c r="DA10" l="1"/>
  <c r="DB10" s="1"/>
  <c r="DA13"/>
  <c r="DB13" s="1"/>
  <c r="DA14"/>
  <c r="DB14" s="1"/>
  <c r="DA19"/>
  <c r="DB19" s="1"/>
  <c r="DA16"/>
  <c r="DB16" s="1"/>
  <c r="DA9"/>
  <c r="DB9" s="1"/>
  <c r="DA17"/>
  <c r="DB17" s="1"/>
  <c r="DA15"/>
  <c r="DB15" s="1"/>
  <c r="DA18"/>
  <c r="DB18" s="1"/>
  <c r="DA12"/>
  <c r="DB12" s="1"/>
  <c r="DA11"/>
  <c r="DB11" s="1"/>
  <c r="DB20" l="1"/>
  <c r="DC12" s="1"/>
  <c r="DF12" l="1"/>
  <c r="DC18"/>
  <c r="DC19"/>
  <c r="DF19" s="1"/>
  <c r="DC11"/>
  <c r="DC14"/>
  <c r="DC9"/>
  <c r="DC17"/>
  <c r="DF17" s="1"/>
  <c r="DC15"/>
  <c r="DC13"/>
  <c r="DC16"/>
  <c r="DC10"/>
  <c r="DF9" l="1"/>
  <c r="DF10"/>
  <c r="DF11"/>
  <c r="DF16"/>
  <c r="DF13"/>
  <c r="DF15"/>
  <c r="DF14"/>
  <c r="DF18"/>
  <c r="DC20"/>
  <c r="DD20" s="1"/>
  <c r="DE20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18"/>
  <c r="DH18" s="1"/>
  <c r="DH20" l="1"/>
  <c r="DI15" s="1"/>
  <c r="DL15" s="1"/>
  <c r="DI9" l="1"/>
  <c r="DI12"/>
  <c r="DL12" s="1"/>
  <c r="DI13"/>
  <c r="DL13" s="1"/>
  <c r="DI14"/>
  <c r="DL14" s="1"/>
  <c r="DI19"/>
  <c r="DL19" s="1"/>
  <c r="DI18"/>
  <c r="DL18" s="1"/>
  <c r="DI11"/>
  <c r="DL11" s="1"/>
  <c r="DI10"/>
  <c r="DL10" s="1"/>
  <c r="DI16"/>
  <c r="DL16" s="1"/>
  <c r="DI17"/>
  <c r="DL17" s="1"/>
  <c r="DI20" l="1"/>
  <c r="DJ20" s="1"/>
  <c r="DL9"/>
  <c r="DK20" s="1"/>
  <c r="DM18" l="1"/>
  <c r="DN18" s="1"/>
  <c r="DM11"/>
  <c r="DN11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0" l="1"/>
  <c r="DO19" s="1"/>
  <c r="DO10" l="1"/>
  <c r="DR10" s="1"/>
  <c r="DO18"/>
  <c r="DR18" s="1"/>
  <c r="DO13"/>
  <c r="DR13" s="1"/>
  <c r="DO11"/>
  <c r="DR11" s="1"/>
  <c r="DO14"/>
  <c r="DR14" s="1"/>
  <c r="DO9"/>
  <c r="DO12"/>
  <c r="DR12" s="1"/>
  <c r="DO17"/>
  <c r="DR17" s="1"/>
  <c r="DO15"/>
  <c r="DR15" s="1"/>
  <c r="DO16"/>
  <c r="DR16" s="1"/>
  <c r="DR19"/>
  <c r="DO20" l="1"/>
  <c r="DP20" s="1"/>
  <c r="DR9"/>
  <c r="DQ20" s="1"/>
  <c r="DS10" l="1"/>
  <c r="DT10" s="1"/>
  <c r="DS13"/>
  <c r="DT13" s="1"/>
  <c r="DS11"/>
  <c r="DT11" s="1"/>
  <c r="DS16"/>
  <c r="DT16" s="1"/>
  <c r="DS14"/>
  <c r="DT14" s="1"/>
  <c r="DS15"/>
  <c r="DT15" s="1"/>
  <c r="DS17"/>
  <c r="DT17" s="1"/>
  <c r="DS18"/>
  <c r="DT18" s="1"/>
  <c r="DS19"/>
  <c r="DT19" s="1"/>
  <c r="DS9"/>
  <c r="DT9" s="1"/>
  <c r="DS12"/>
  <c r="DT12" s="1"/>
  <c r="DT20" l="1"/>
  <c r="DU11" s="1"/>
  <c r="DX11" s="1"/>
  <c r="DU19" l="1"/>
  <c r="DX19" s="1"/>
  <c r="DU10"/>
  <c r="DX10" s="1"/>
  <c r="DU15"/>
  <c r="DX15" s="1"/>
  <c r="DU16"/>
  <c r="DX16" s="1"/>
  <c r="DU9"/>
  <c r="DX9" s="1"/>
  <c r="DU14"/>
  <c r="DX14" s="1"/>
  <c r="DU12"/>
  <c r="DX12" s="1"/>
  <c r="DU17"/>
  <c r="DX17" s="1"/>
  <c r="DU13"/>
  <c r="DX13" s="1"/>
  <c r="DU18"/>
  <c r="DX18" s="1"/>
  <c r="DU20" l="1"/>
  <c r="DV20" s="1"/>
  <c r="DW20"/>
  <c r="DY18" l="1"/>
  <c r="DZ18" s="1"/>
  <c r="DY11"/>
  <c r="DZ11" s="1"/>
  <c r="DY10"/>
  <c r="DZ1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0" l="1"/>
  <c r="EA12" l="1"/>
  <c r="EA18"/>
  <c r="EA16"/>
  <c r="EA9"/>
  <c r="EA14"/>
  <c r="EA10"/>
  <c r="EA13"/>
  <c r="EA15"/>
  <c r="EA11"/>
  <c r="EA17"/>
  <c r="EA19"/>
  <c r="ED15" l="1"/>
  <c r="ED10"/>
  <c r="ED9"/>
  <c r="ED12"/>
  <c r="ED17"/>
  <c r="ED19"/>
  <c r="ED11"/>
  <c r="ED13"/>
  <c r="ED18"/>
  <c r="ED14"/>
  <c r="ED16"/>
  <c r="EA20"/>
  <c r="EB20" s="1"/>
  <c r="EC20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11"/>
  <c r="EF11" s="1"/>
  <c r="EE13"/>
  <c r="EF13" s="1"/>
  <c r="EF20" l="1"/>
  <c r="EG9" l="1"/>
  <c r="EG18"/>
  <c r="EG15"/>
  <c r="EG10"/>
  <c r="EG16"/>
  <c r="EG13"/>
  <c r="EG17"/>
  <c r="EG14"/>
  <c r="EG12"/>
  <c r="EG19"/>
  <c r="EG11"/>
  <c r="EJ19" l="1"/>
  <c r="EJ17"/>
  <c r="EJ10"/>
  <c r="EJ18"/>
  <c r="EJ16"/>
  <c r="EJ15"/>
  <c r="EJ14"/>
  <c r="EJ12"/>
  <c r="EJ13"/>
  <c r="EJ9"/>
  <c r="EG20"/>
  <c r="EH20" s="1"/>
  <c r="EJ11"/>
  <c r="EI20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19"/>
  <c r="EL19" s="1"/>
  <c r="EK17"/>
  <c r="EL17" s="1"/>
  <c r="EL20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 l="1"/>
  <c r="EN20" s="1"/>
  <c r="EP12"/>
  <c r="EO20" l="1"/>
  <c r="EQ11" s="1"/>
  <c r="ER11" s="1"/>
  <c r="EQ16" l="1"/>
  <c r="ER16" s="1"/>
  <c r="EQ18"/>
  <c r="ER18" s="1"/>
  <c r="EQ15"/>
  <c r="ER15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0" l="1"/>
  <c r="ES17" s="1"/>
  <c r="EV17" s="1"/>
  <c r="ES10" l="1"/>
  <c r="EV10" s="1"/>
  <c r="ES9"/>
  <c r="EV9" s="1"/>
  <c r="EU20" s="1"/>
  <c r="ES18"/>
  <c r="EV18" s="1"/>
  <c r="ES15"/>
  <c r="EV15" s="1"/>
  <c r="ES14"/>
  <c r="EV14" s="1"/>
  <c r="ES12"/>
  <c r="EV12" s="1"/>
  <c r="ES13"/>
  <c r="EV13" s="1"/>
  <c r="ES19"/>
  <c r="EV19" s="1"/>
  <c r="ES11"/>
  <c r="EV11" s="1"/>
  <c r="ES16"/>
  <c r="EV16" s="1"/>
  <c r="ES20" l="1"/>
  <c r="ET20" s="1"/>
  <c r="EW16"/>
  <c r="EW12"/>
  <c r="EW17"/>
  <c r="EW13"/>
  <c r="EW9"/>
  <c r="EW18"/>
  <c r="EW14"/>
  <c r="EW10"/>
  <c r="EW19"/>
  <c r="EW15"/>
  <c r="EW11"/>
  <c r="EX13" l="1"/>
  <c r="EX9"/>
  <c r="EX15"/>
  <c r="EX16"/>
  <c r="EX17"/>
  <c r="EX18"/>
  <c r="EX10"/>
  <c r="EX12"/>
  <c r="EX14"/>
  <c r="EX19"/>
  <c r="EX11"/>
  <c r="EX20" l="1"/>
  <c r="EY18" s="1"/>
  <c r="EY13" l="1"/>
  <c r="FB13" s="1"/>
  <c r="EY12"/>
  <c r="FB12" s="1"/>
  <c r="EY9"/>
  <c r="EY19"/>
  <c r="FB19" s="1"/>
  <c r="EY16"/>
  <c r="FB16" s="1"/>
  <c r="EY14"/>
  <c r="FB14" s="1"/>
  <c r="EY10"/>
  <c r="FB10" s="1"/>
  <c r="EY11"/>
  <c r="FB11" s="1"/>
  <c r="EY17"/>
  <c r="FB17" s="1"/>
  <c r="EY15"/>
  <c r="FB15" s="1"/>
  <c r="FB18"/>
  <c r="EY20" l="1"/>
  <c r="EZ20" s="1"/>
  <c r="FB9"/>
  <c r="FA20" s="1"/>
  <c r="FC16" l="1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0" l="1"/>
  <c r="FE15" l="1"/>
  <c r="FE16"/>
  <c r="FE17"/>
  <c r="FE10"/>
  <c r="FE18"/>
  <c r="FE13"/>
  <c r="FE19"/>
  <c r="FE9"/>
  <c r="FE11"/>
  <c r="FE14"/>
  <c r="FE12"/>
  <c r="FH13" l="1"/>
  <c r="FH17"/>
  <c r="FH15"/>
  <c r="FH14"/>
  <c r="FH10"/>
  <c r="FE20"/>
  <c r="FF20" s="1"/>
  <c r="FH9"/>
  <c r="FH16"/>
  <c r="FH19"/>
  <c r="FH12"/>
  <c r="FH11"/>
  <c r="FH18"/>
  <c r="FG20" l="1"/>
  <c r="FI15" l="1"/>
  <c r="FJ15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0" l="1"/>
  <c r="FK16" l="1"/>
  <c r="FK11"/>
  <c r="FK19"/>
  <c r="FK15"/>
  <c r="FK12"/>
  <c r="FK9"/>
  <c r="FK17"/>
  <c r="FK10"/>
  <c r="FK14"/>
  <c r="FK18"/>
  <c r="FK13"/>
  <c r="FN14" l="1"/>
  <c r="FN10"/>
  <c r="FN18"/>
  <c r="FN19"/>
  <c r="FN16"/>
  <c r="FK20"/>
  <c r="FL20" s="1"/>
  <c r="FN9"/>
  <c r="FN15"/>
  <c r="FN13"/>
  <c r="FN17"/>
  <c r="FN12"/>
  <c r="FN11"/>
  <c r="FM20" l="1"/>
  <c r="FO19" l="1"/>
  <c r="FP19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0" l="1"/>
  <c r="FQ19" l="1"/>
  <c r="FQ14"/>
  <c r="FQ10"/>
  <c r="FQ12"/>
  <c r="FQ16"/>
  <c r="FQ15"/>
  <c r="FQ11"/>
  <c r="FQ18"/>
  <c r="FQ17"/>
  <c r="FQ13"/>
  <c r="FQ9"/>
  <c r="FT13" l="1"/>
  <c r="FT18"/>
  <c r="FT11"/>
  <c r="FT12"/>
  <c r="FT14"/>
  <c r="FQ20"/>
  <c r="FR20" s="1"/>
  <c r="FT9"/>
  <c r="FT16"/>
  <c r="FT10"/>
  <c r="FT17"/>
  <c r="FT15"/>
  <c r="FT19"/>
  <c r="FS20" l="1"/>
  <c r="FU19" l="1"/>
  <c r="FV19" s="1"/>
  <c r="FU15"/>
  <c r="FV15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0" l="1"/>
  <c r="FW18" l="1"/>
  <c r="FW12"/>
  <c r="FW19"/>
  <c r="FW13"/>
  <c r="FW9"/>
  <c r="FW10"/>
  <c r="FW11"/>
  <c r="FW16"/>
  <c r="FW17"/>
  <c r="FW14"/>
  <c r="FW15"/>
  <c r="FZ16" l="1"/>
  <c r="FZ19"/>
  <c r="FZ14"/>
  <c r="FZ18"/>
  <c r="FZ10"/>
  <c r="FZ15"/>
  <c r="FZ17"/>
  <c r="FZ11"/>
  <c r="FZ13"/>
  <c r="FZ12"/>
  <c r="FW20"/>
  <c r="FX20" s="1"/>
  <c r="FZ9"/>
  <c r="FY20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14"/>
  <c r="GB14" s="1"/>
  <c r="GA16"/>
  <c r="GB16" s="1"/>
  <c r="GB20" l="1"/>
  <c r="GC17" s="1"/>
  <c r="GC12" l="1"/>
  <c r="GF12" s="1"/>
  <c r="GC9"/>
  <c r="GC15"/>
  <c r="GF15" s="1"/>
  <c r="GC13"/>
  <c r="GF13" s="1"/>
  <c r="GC11"/>
  <c r="GF11" s="1"/>
  <c r="GC18"/>
  <c r="GF18" s="1"/>
  <c r="GC16"/>
  <c r="GF16" s="1"/>
  <c r="GC14"/>
  <c r="GF14" s="1"/>
  <c r="GC10"/>
  <c r="GF10" s="1"/>
  <c r="GC19"/>
  <c r="GF19" s="1"/>
  <c r="GF17"/>
  <c r="GC20" l="1"/>
  <c r="GD20" s="1"/>
  <c r="GF9"/>
  <c r="GE20" s="1"/>
  <c r="GG11" l="1"/>
  <c r="GH11" s="1"/>
  <c r="GG9"/>
  <c r="GH9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0" l="1"/>
  <c r="GI13" s="1"/>
  <c r="GJ13" s="1"/>
  <c r="GK13" s="1"/>
  <c r="GL13" s="1"/>
  <c r="GI14" l="1"/>
  <c r="GJ14" s="1"/>
  <c r="GK14" s="1"/>
  <c r="GL14" s="1"/>
  <c r="GI12"/>
  <c r="GJ12" s="1"/>
  <c r="GK12" s="1"/>
  <c r="GL12" s="1"/>
  <c r="GI19"/>
  <c r="GJ19" s="1"/>
  <c r="GK19" s="1"/>
  <c r="GL19" s="1"/>
  <c r="GI18"/>
  <c r="GJ18" s="1"/>
  <c r="GK18" s="1"/>
  <c r="GL18" s="1"/>
  <c r="GI16"/>
  <c r="GJ16" s="1"/>
  <c r="GK16" s="1"/>
  <c r="GL16" s="1"/>
  <c r="GI11"/>
  <c r="GJ11" s="1"/>
  <c r="GK11" s="1"/>
  <c r="GL11" s="1"/>
  <c r="GI10"/>
  <c r="GJ10" s="1"/>
  <c r="GK10" s="1"/>
  <c r="GL10" s="1"/>
  <c r="GI15"/>
  <c r="GJ15" s="1"/>
  <c r="GK15" s="1"/>
  <c r="GL15" s="1"/>
  <c r="GI17"/>
  <c r="GJ17" s="1"/>
  <c r="GK17" s="1"/>
  <c r="GL17" s="1"/>
  <c r="GI9"/>
  <c r="GJ9" s="1"/>
  <c r="GI20" l="1"/>
  <c r="GK9"/>
  <c r="GL9" s="1"/>
  <c r="GJ20"/>
  <c r="GK20" s="1"/>
</calcChain>
</file>

<file path=xl/sharedStrings.xml><?xml version="1.0" encoding="utf-8"?>
<sst xmlns="http://schemas.openxmlformats.org/spreadsheetml/2006/main" count="1468" uniqueCount="203">
  <si>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</si>
  <si>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</si>
  <si>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</si>
  <si>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</si>
  <si>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</si>
  <si>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</si>
  <si>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</si>
  <si>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</si>
  <si>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</si>
  <si>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</si>
  <si>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</si>
  <si>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</si>
  <si>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</si>
  <si>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</si>
  <si>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</si>
  <si>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</si>
  <si>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</si>
  <si>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</si>
  <si>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</si>
  <si>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</si>
  <si>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</si>
  <si>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</si>
  <si>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</si>
  <si>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</si>
  <si>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</si>
  <si>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</si>
  <si>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</si>
  <si>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</si>
  <si>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</si>
  <si>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</si>
  <si>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</si>
  <si>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</si>
  <si>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</si>
  <si>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</si>
  <si>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</si>
  <si>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</si>
  <si>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</si>
  <si>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</si>
  <si>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</si>
  <si>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</si>
  <si>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</si>
  <si>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</si>
  <si>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</si>
  <si>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</si>
  <si>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</si>
  <si>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</si>
  <si>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</si>
  <si>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</si>
  <si>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</si>
  <si>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</si>
  <si>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</si>
  <si>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</si>
  <si>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</si>
  <si>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</si>
  <si>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</si>
  <si>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</si>
  <si>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</si>
  <si>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</si>
  <si>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</si>
  <si>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</si>
  <si>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</si>
  <si>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</si>
  <si>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</si>
  <si>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</si>
  <si>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</si>
  <si>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</si>
  <si>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</si>
  <si>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</si>
  <si>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</si>
  <si>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</si>
  <si>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</si>
  <si>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</si>
  <si>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</si>
  <si>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</si>
  <si>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</si>
  <si>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</si>
  <si>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</si>
  <si>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</si>
  <si>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</si>
  <si>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</si>
  <si>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</si>
  <si>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</si>
  <si>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</si>
  <si>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</si>
  <si>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</si>
  <si>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</si>
  <si>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</si>
  <si>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</si>
  <si>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</si>
  <si>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</si>
  <si>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</si>
  <si>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</si>
  <si>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</si>
  <si>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</si>
  <si>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</si>
  <si>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</si>
  <si>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</si>
  <si>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</si>
  <si>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</si>
  <si>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</si>
  <si>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</si>
  <si>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</si>
  <si>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</si>
  <si>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</si>
  <si>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</si>
  <si>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</si>
  <si>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</si>
  <si>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</si>
  <si>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</si>
  <si>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</si>
  <si>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</si>
  <si>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</si>
  <si>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</si>
  <si>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</si>
  <si>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</si>
  <si>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</si>
  <si>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</si>
  <si>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</si>
  <si>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</si>
  <si>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</si>
  <si>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</si>
  <si>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</si>
  <si>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</si>
  <si>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</si>
  <si>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</si>
  <si>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</si>
  <si>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</si>
  <si>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</si>
  <si>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</si>
  <si>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</si>
  <si>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</si>
  <si>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</si>
  <si>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</si>
  <si>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</si>
  <si>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</si>
  <si>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</si>
  <si>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</si>
  <si>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</si>
  <si>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</si>
  <si>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</si>
  <si>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</si>
  <si>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</si>
  <si>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</si>
  <si>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</si>
  <si>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</si>
  <si>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</si>
  <si>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</si>
  <si>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</si>
  <si>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</si>
  <si>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</si>
  <si>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</si>
  <si>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</si>
  <si>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</si>
  <si>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</si>
  <si>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</si>
  <si>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</si>
  <si>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</si>
  <si>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</si>
  <si>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</si>
  <si>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</si>
  <si>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</si>
  <si>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</si>
  <si>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</si>
  <si>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</si>
  <si>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</si>
  <si>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</si>
  <si>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</si>
  <si>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</si>
  <si>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</si>
  <si>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</si>
  <si>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</si>
  <si>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</si>
  <si>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</si>
  <si>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</si>
  <si>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</si>
  <si>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</si>
  <si>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</si>
  <si>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</si>
  <si>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</si>
  <si>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</si>
  <si>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</si>
  <si>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</si>
  <si>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</si>
  <si>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</si>
  <si>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</si>
  <si>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</si>
  <si>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</si>
  <si>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</si>
  <si>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Исилькульское городское поселение</t>
  </si>
  <si>
    <t>на 01.01.2021</t>
  </si>
  <si>
    <t>2023 год</t>
  </si>
  <si>
    <t>Расчет размера дотации бюджетам поселений, входящих в состав Исилькульского муниципального района Омской области, на выравнивание бюджетной обеспеченности на 2023 год</t>
  </si>
  <si>
    <t>километр</t>
  </si>
  <si>
    <t>индекс</t>
  </si>
  <si>
    <r>
      <t xml:space="preserve"> коэффициент удорожания удаленности поселения от районного центра,   P1</t>
    </r>
    <r>
      <rPr>
        <i/>
        <sz val="6"/>
        <rFont val="Times New Roman"/>
        <family val="1"/>
        <charset val="204"/>
      </rPr>
      <t xml:space="preserve">КУi </t>
    </r>
  </si>
  <si>
    <r>
      <t>Поправочный коэффициент расходных потребностей,  P1</t>
    </r>
    <r>
      <rPr>
        <b/>
        <i/>
        <sz val="8"/>
        <rFont val="Times New Roman"/>
        <family val="1"/>
        <charset val="204"/>
      </rPr>
      <t>КУi</t>
    </r>
    <r>
      <rPr>
        <b/>
        <i/>
        <sz val="11"/>
        <rFont val="Times New Roman"/>
        <family val="1"/>
        <charset val="204"/>
      </rPr>
      <t xml:space="preserve"> + P2</t>
    </r>
    <r>
      <rPr>
        <b/>
        <i/>
        <sz val="8"/>
        <rFont val="Times New Roman"/>
        <family val="1"/>
        <charset val="204"/>
      </rPr>
      <t>КУi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</si>
  <si>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</si>
  <si>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</si>
  <si>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коэффициент удорожания по группам численности постоянного населения, </t>
    </r>
    <r>
      <rPr>
        <i/>
        <sz val="14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P2</t>
    </r>
    <r>
      <rPr>
        <i/>
        <sz val="6"/>
        <rFont val="Times New Roman"/>
        <family val="1"/>
        <charset val="204"/>
      </rPr>
      <t xml:space="preserve">КУi </t>
    </r>
  </si>
  <si>
    <t>Удаленность от районного центра на 01.01.2021г., Р1</t>
  </si>
  <si>
    <t>группа численности постоянного населения на 01.01.2021г., Р2</t>
  </si>
  <si>
    <t xml:space="preserve"> 1+(Р1i / Р1макс)</t>
  </si>
  <si>
    <t xml:space="preserve"> 1+(Р2i / Р2макс)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</si>
</sst>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 CYR"/>
      <family val="1"/>
      <charset val="204"/>
    </font>
    <font>
      <i/>
      <sz val="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7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7" fillId="42" borderId="34" xfId="0" applyFont="1" applyFill="1" applyBorder="1" applyAlignment="1">
      <alignment horizontal="center" vertical="center" wrapText="1"/>
    </xf>
    <xf numFmtId="0" fontId="37" fillId="42" borderId="55" xfId="0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49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2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4" fontId="36" fillId="42" borderId="22" xfId="0" applyNumberFormat="1" applyFont="1" applyFill="1" applyBorder="1" applyAlignment="1">
      <alignment horizontal="center" vertical="center" wrapText="1"/>
    </xf>
    <xf numFmtId="164" fontId="36" fillId="42" borderId="17" xfId="0" applyNumberFormat="1" applyFont="1" applyFill="1" applyBorder="1" applyAlignment="1">
      <alignment horizontal="center" vertical="center" wrapText="1"/>
    </xf>
    <xf numFmtId="164" fontId="36" fillId="42" borderId="4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7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7" xfId="0" applyNumberFormat="1" applyFont="1" applyFill="1" applyBorder="1" applyAlignment="1">
      <alignment horizontal="center"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3" xfId="0" applyFont="1" applyFill="1" applyBorder="1" applyAlignment="1">
      <alignment horizontal="left" vertical="center" wrapText="1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1" fillId="0" borderId="53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Border="1" applyAlignment="1">
      <alignment horizont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51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72" fontId="18" fillId="39" borderId="37" xfId="0" applyNumberFormat="1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40" fillId="0" borderId="11" xfId="0" applyFont="1" applyFill="1" applyBorder="1" applyAlignment="1" applyProtection="1">
      <alignment horizontal="left" vertical="center" wrapText="1"/>
      <protection locked="0"/>
    </xf>
    <xf numFmtId="168" fontId="18" fillId="0" borderId="11" xfId="0" applyNumberFormat="1" applyFont="1" applyFill="1" applyBorder="1" applyAlignment="1">
      <alignment vertical="center"/>
    </xf>
    <xf numFmtId="164" fontId="18" fillId="26" borderId="36" xfId="0" applyNumberFormat="1" applyFont="1" applyFill="1" applyBorder="1" applyAlignment="1">
      <alignment horizontal="center" vertical="center"/>
    </xf>
    <xf numFmtId="172" fontId="31" fillId="0" borderId="22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168" fontId="18" fillId="0" borderId="22" xfId="0" applyNumberFormat="1" applyFont="1" applyFill="1" applyBorder="1" applyAlignment="1">
      <alignment vertical="center"/>
    </xf>
    <xf numFmtId="168" fontId="18" fillId="0" borderId="17" xfId="0" applyNumberFormat="1" applyFont="1" applyFill="1" applyBorder="1" applyAlignment="1">
      <alignment vertical="center"/>
    </xf>
    <xf numFmtId="170" fontId="18" fillId="0" borderId="17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71" fontId="18" fillId="0" borderId="35" xfId="0" applyNumberFormat="1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169" fontId="18" fillId="0" borderId="36" xfId="0" applyNumberFormat="1" applyFont="1" applyFill="1" applyBorder="1" applyAlignment="1">
      <alignment vertical="center"/>
    </xf>
    <xf numFmtId="167" fontId="18" fillId="0" borderId="46" xfId="0" applyNumberFormat="1" applyFont="1" applyFill="1" applyBorder="1" applyAlignment="1">
      <alignment vertical="center"/>
    </xf>
    <xf numFmtId="167" fontId="18" fillId="0" borderId="37" xfId="0" applyNumberFormat="1" applyFont="1" applyFill="1" applyBorder="1" applyAlignment="1">
      <alignment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right" vertical="center"/>
    </xf>
    <xf numFmtId="169" fontId="18" fillId="0" borderId="17" xfId="0" applyNumberFormat="1" applyFont="1" applyFill="1" applyBorder="1" applyAlignment="1">
      <alignment vertical="center"/>
    </xf>
    <xf numFmtId="167" fontId="18" fillId="0" borderId="17" xfId="0" applyNumberFormat="1" applyFont="1" applyFill="1" applyBorder="1" applyAlignment="1">
      <alignment vertical="center"/>
    </xf>
    <xf numFmtId="167" fontId="18" fillId="0" borderId="44" xfId="0" applyNumberFormat="1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167" fontId="18" fillId="0" borderId="25" xfId="0" applyNumberFormat="1" applyFont="1" applyFill="1" applyBorder="1" applyAlignment="1">
      <alignment vertical="center"/>
    </xf>
    <xf numFmtId="171" fontId="18" fillId="0" borderId="46" xfId="0" applyNumberFormat="1" applyFont="1" applyFill="1" applyBorder="1" applyAlignment="1">
      <alignment horizontal="right" vertical="center"/>
    </xf>
    <xf numFmtId="167" fontId="18" fillId="0" borderId="11" xfId="0" applyNumberFormat="1" applyFont="1" applyFill="1" applyBorder="1" applyAlignment="1">
      <alignment vertical="center"/>
    </xf>
    <xf numFmtId="171" fontId="18" fillId="0" borderId="24" xfId="0" applyNumberFormat="1" applyFont="1" applyFill="1" applyBorder="1" applyAlignment="1">
      <alignment horizontal="right" vertical="center"/>
    </xf>
    <xf numFmtId="167" fontId="18" fillId="0" borderId="47" xfId="0" applyNumberFormat="1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168" fontId="18" fillId="0" borderId="13" xfId="0" applyNumberFormat="1" applyFont="1" applyFill="1" applyBorder="1" applyAlignment="1">
      <alignment vertical="center"/>
    </xf>
    <xf numFmtId="170" fontId="18" fillId="0" borderId="11" xfId="0" applyNumberFormat="1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18" fillId="0" borderId="14" xfId="0" applyNumberFormat="1" applyFont="1" applyFill="1" applyBorder="1" applyAlignment="1">
      <alignment vertical="center"/>
    </xf>
    <xf numFmtId="167" fontId="21" fillId="45" borderId="36" xfId="0" applyNumberFormat="1" applyFont="1" applyFill="1" applyBorder="1" applyAlignment="1">
      <alignment vertical="center"/>
    </xf>
    <xf numFmtId="167" fontId="21" fillId="45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5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61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2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2"/>
  <sheetViews>
    <sheetView view="pageBreakPreview" zoomScale="75" zoomScaleNormal="90" zoomScaleSheetLayoutView="75" workbookViewId="0">
      <selection activeCell="F9" sqref="F9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216" t="s">
        <v>77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s="4" customFormat="1" ht="16.5">
      <c r="B3" s="209"/>
      <c r="C3" s="209"/>
      <c r="D3" s="209"/>
      <c r="E3" s="209"/>
      <c r="F3" s="209"/>
      <c r="G3" s="209"/>
    </row>
    <row r="4" spans="1:10" ht="16.5" thickBot="1">
      <c r="B4" s="5"/>
      <c r="C4" s="6"/>
      <c r="D4" s="6"/>
    </row>
    <row r="5" spans="1:10" ht="20.25" customHeight="1" thickBot="1">
      <c r="A5" s="223" t="s">
        <v>0</v>
      </c>
      <c r="B5" s="210" t="s">
        <v>7</v>
      </c>
      <c r="C5" s="213" t="s">
        <v>56</v>
      </c>
      <c r="D5" s="214"/>
      <c r="E5" s="214"/>
      <c r="F5" s="214"/>
      <c r="G5" s="214"/>
      <c r="H5" s="214"/>
      <c r="I5" s="214"/>
      <c r="J5" s="215"/>
    </row>
    <row r="6" spans="1:10" s="7" customFormat="1" ht="51.75" customHeight="1">
      <c r="A6" s="224"/>
      <c r="B6" s="211"/>
      <c r="C6" s="95" t="s">
        <v>196</v>
      </c>
      <c r="D6" s="95" t="s">
        <v>62</v>
      </c>
      <c r="E6" s="217" t="s">
        <v>73</v>
      </c>
      <c r="F6" s="218"/>
      <c r="G6" s="218"/>
      <c r="H6" s="218"/>
      <c r="I6" s="218"/>
      <c r="J6" s="219"/>
    </row>
    <row r="7" spans="1:10" s="7" customFormat="1" ht="19.5" customHeight="1" thickBot="1">
      <c r="A7" s="224"/>
      <c r="B7" s="211"/>
      <c r="C7" s="96" t="s">
        <v>189</v>
      </c>
      <c r="D7" s="98" t="s">
        <v>190</v>
      </c>
      <c r="E7" s="220"/>
      <c r="F7" s="221"/>
      <c r="G7" s="221"/>
      <c r="H7" s="221"/>
      <c r="I7" s="221"/>
      <c r="J7" s="222"/>
    </row>
    <row r="8" spans="1:10" s="7" customFormat="1" ht="54.75" customHeight="1" thickBot="1">
      <c r="A8" s="224"/>
      <c r="B8" s="212"/>
      <c r="C8" s="97" t="s">
        <v>1</v>
      </c>
      <c r="D8" s="97" t="s">
        <v>2</v>
      </c>
      <c r="E8" s="99" t="s">
        <v>199</v>
      </c>
      <c r="F8" s="100" t="s">
        <v>200</v>
      </c>
      <c r="G8" s="100" t="s">
        <v>71</v>
      </c>
      <c r="H8" s="100" t="s">
        <v>71</v>
      </c>
      <c r="I8" s="100" t="s">
        <v>71</v>
      </c>
      <c r="J8" s="101" t="s">
        <v>71</v>
      </c>
    </row>
    <row r="9" spans="1:10" s="8" customFormat="1" ht="24.75" thickBot="1">
      <c r="A9" s="225"/>
      <c r="B9" s="57" t="s">
        <v>3</v>
      </c>
      <c r="C9" s="55" t="s">
        <v>5</v>
      </c>
      <c r="D9" s="55" t="s">
        <v>4</v>
      </c>
      <c r="E9" s="93" t="s">
        <v>192</v>
      </c>
      <c r="F9" s="93" t="s">
        <v>193</v>
      </c>
      <c r="G9" s="93" t="s">
        <v>72</v>
      </c>
      <c r="H9" s="93" t="s">
        <v>72</v>
      </c>
      <c r="I9" s="93" t="s">
        <v>72</v>
      </c>
      <c r="J9" s="94" t="s">
        <v>72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7.5">
      <c r="A11" s="42">
        <v>1</v>
      </c>
      <c r="B11" s="170" t="s">
        <v>178</v>
      </c>
      <c r="C11" s="139">
        <v>1092</v>
      </c>
      <c r="D11" s="139">
        <v>4578195</v>
      </c>
      <c r="E11" s="171">
        <v>32</v>
      </c>
      <c r="F11" s="172">
        <v>4</v>
      </c>
      <c r="G11" s="129"/>
      <c r="H11" s="122"/>
      <c r="I11" s="122"/>
      <c r="J11" s="123"/>
    </row>
    <row r="12" spans="1:10" ht="37.5">
      <c r="A12" s="43">
        <v>2</v>
      </c>
      <c r="B12" s="170" t="s">
        <v>179</v>
      </c>
      <c r="C12" s="140">
        <v>2299</v>
      </c>
      <c r="D12" s="140">
        <v>1979091</v>
      </c>
      <c r="E12" s="171">
        <v>10</v>
      </c>
      <c r="F12" s="124">
        <v>3</v>
      </c>
      <c r="G12" s="18"/>
      <c r="H12" s="125"/>
      <c r="I12" s="125"/>
      <c r="J12" s="126"/>
    </row>
    <row r="13" spans="1:10" ht="37.5">
      <c r="A13" s="43">
        <v>3</v>
      </c>
      <c r="B13" s="170" t="s">
        <v>180</v>
      </c>
      <c r="C13" s="140">
        <v>492</v>
      </c>
      <c r="D13" s="140">
        <v>720091</v>
      </c>
      <c r="E13" s="171">
        <v>16</v>
      </c>
      <c r="F13" s="124">
        <v>6</v>
      </c>
      <c r="G13" s="18"/>
      <c r="H13" s="125"/>
      <c r="I13" s="125"/>
      <c r="J13" s="126"/>
    </row>
    <row r="14" spans="1:10" ht="37.5">
      <c r="A14" s="43">
        <v>4</v>
      </c>
      <c r="B14" s="170" t="s">
        <v>181</v>
      </c>
      <c r="C14" s="140">
        <v>1975</v>
      </c>
      <c r="D14" s="140">
        <v>1846181</v>
      </c>
      <c r="E14" s="171">
        <v>22</v>
      </c>
      <c r="F14" s="124">
        <v>3</v>
      </c>
      <c r="G14" s="18"/>
      <c r="H14" s="125"/>
      <c r="I14" s="125"/>
      <c r="J14" s="126"/>
    </row>
    <row r="15" spans="1:10" ht="37.5">
      <c r="A15" s="43">
        <v>5</v>
      </c>
      <c r="B15" s="170" t="s">
        <v>182</v>
      </c>
      <c r="C15" s="140">
        <v>2197</v>
      </c>
      <c r="D15" s="140">
        <v>5628231</v>
      </c>
      <c r="E15" s="171">
        <v>13</v>
      </c>
      <c r="F15" s="124">
        <v>3</v>
      </c>
      <c r="G15" s="18"/>
      <c r="H15" s="125"/>
      <c r="I15" s="125"/>
      <c r="J15" s="126"/>
    </row>
    <row r="16" spans="1:10" ht="37.5">
      <c r="A16" s="43">
        <v>6</v>
      </c>
      <c r="B16" s="170" t="s">
        <v>183</v>
      </c>
      <c r="C16" s="140">
        <v>932</v>
      </c>
      <c r="D16" s="140">
        <v>1681465</v>
      </c>
      <c r="E16" s="171">
        <v>32</v>
      </c>
      <c r="F16" s="124">
        <v>4</v>
      </c>
      <c r="G16" s="18"/>
      <c r="H16" s="125"/>
      <c r="I16" s="125"/>
      <c r="J16" s="126"/>
    </row>
    <row r="17" spans="1:10" ht="37.5">
      <c r="A17" s="43">
        <v>7</v>
      </c>
      <c r="B17" s="170" t="s">
        <v>184</v>
      </c>
      <c r="C17" s="140">
        <v>1755</v>
      </c>
      <c r="D17" s="140">
        <v>4656967</v>
      </c>
      <c r="E17" s="171">
        <v>29</v>
      </c>
      <c r="F17" s="124">
        <v>4</v>
      </c>
      <c r="G17" s="18"/>
      <c r="H17" s="125"/>
      <c r="I17" s="125"/>
      <c r="J17" s="126"/>
    </row>
    <row r="18" spans="1:10" ht="37.5">
      <c r="A18" s="43">
        <v>8</v>
      </c>
      <c r="B18" s="170" t="s">
        <v>185</v>
      </c>
      <c r="C18" s="141">
        <v>620</v>
      </c>
      <c r="D18" s="141">
        <v>1105355</v>
      </c>
      <c r="E18" s="171">
        <v>26</v>
      </c>
      <c r="F18" s="124">
        <v>5</v>
      </c>
      <c r="G18" s="18"/>
      <c r="H18" s="125"/>
      <c r="I18" s="125"/>
      <c r="J18" s="126"/>
    </row>
    <row r="19" spans="1:10" ht="37.5">
      <c r="A19" s="43">
        <v>9</v>
      </c>
      <c r="B19" s="170" t="s">
        <v>186</v>
      </c>
      <c r="C19" s="142">
        <v>2672</v>
      </c>
      <c r="D19" s="142">
        <v>4021330</v>
      </c>
      <c r="E19" s="171">
        <v>10</v>
      </c>
      <c r="F19" s="124">
        <v>2</v>
      </c>
      <c r="G19" s="18"/>
      <c r="H19" s="125"/>
      <c r="I19" s="125"/>
      <c r="J19" s="126"/>
    </row>
    <row r="20" spans="1:10" ht="37.5">
      <c r="A20" s="43">
        <v>10</v>
      </c>
      <c r="B20" s="170" t="s">
        <v>187</v>
      </c>
      <c r="C20" s="143">
        <v>2215</v>
      </c>
      <c r="D20" s="143">
        <v>5015975</v>
      </c>
      <c r="E20" s="171">
        <v>34</v>
      </c>
      <c r="F20" s="124">
        <v>3</v>
      </c>
      <c r="G20" s="19"/>
      <c r="H20" s="125"/>
      <c r="I20" s="125"/>
      <c r="J20" s="126"/>
    </row>
    <row r="21" spans="1:10" ht="38.25" thickBot="1">
      <c r="A21" s="43">
        <v>11</v>
      </c>
      <c r="B21" s="170" t="s">
        <v>188</v>
      </c>
      <c r="C21" s="144">
        <v>22101</v>
      </c>
      <c r="D21" s="144">
        <v>33373161</v>
      </c>
      <c r="E21" s="171">
        <v>0</v>
      </c>
      <c r="F21" s="124">
        <v>1</v>
      </c>
      <c r="G21" s="18"/>
      <c r="H21" s="125"/>
      <c r="I21" s="125"/>
      <c r="J21" s="126"/>
    </row>
    <row r="22" spans="1:10" ht="16.5" thickBot="1">
      <c r="A22" s="21"/>
      <c r="B22" s="22" t="s">
        <v>6</v>
      </c>
      <c r="C22" s="23">
        <f>SUM(C11:C21)</f>
        <v>38350</v>
      </c>
      <c r="D22" s="23">
        <f>SUM(D11:D21)</f>
        <v>64606042</v>
      </c>
      <c r="E22" s="24">
        <v>34</v>
      </c>
      <c r="F22" s="24">
        <v>6</v>
      </c>
      <c r="G22" s="24"/>
      <c r="H22" s="44"/>
      <c r="I22" s="44"/>
      <c r="J22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110" zoomScaleNormal="110" workbookViewId="0">
      <selection activeCell="D5" sqref="D5"/>
    </sheetView>
  </sheetViews>
  <sheetFormatPr defaultRowHeight="15.75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26" t="s">
        <v>63</v>
      </c>
      <c r="B2" s="226"/>
      <c r="C2" s="226"/>
      <c r="D2" s="226"/>
      <c r="E2" s="226"/>
      <c r="F2" s="226"/>
      <c r="G2" s="226"/>
    </row>
    <row r="3" spans="1:8" ht="16.5" thickBot="1">
      <c r="B3" s="12"/>
    </row>
    <row r="4" spans="1:8" s="7" customFormat="1" ht="72" customHeight="1" thickBot="1">
      <c r="A4" s="227" t="s">
        <v>0</v>
      </c>
      <c r="B4" s="227" t="s">
        <v>61</v>
      </c>
      <c r="C4" s="87" t="s">
        <v>194</v>
      </c>
      <c r="D4" s="87" t="s">
        <v>198</v>
      </c>
      <c r="E4" s="87" t="s">
        <v>75</v>
      </c>
      <c r="F4" s="89" t="s">
        <v>75</v>
      </c>
      <c r="G4" s="229" t="s">
        <v>195</v>
      </c>
    </row>
    <row r="5" spans="1:8" s="13" customFormat="1" ht="45.75" customHeight="1" thickBot="1">
      <c r="A5" s="228"/>
      <c r="B5" s="228"/>
      <c r="C5" s="88" t="s">
        <v>201</v>
      </c>
      <c r="D5" s="88" t="s">
        <v>202</v>
      </c>
      <c r="E5" s="88" t="s">
        <v>76</v>
      </c>
      <c r="F5" s="90" t="s">
        <v>76</v>
      </c>
      <c r="G5" s="230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1">
        <f t="shared" si="0"/>
        <v>6</v>
      </c>
      <c r="G6" s="92">
        <f>F6+1</f>
        <v>7</v>
      </c>
    </row>
    <row r="7" spans="1:8" ht="37.5">
      <c r="A7" s="147">
        <v>1</v>
      </c>
      <c r="B7" s="170" t="s">
        <v>178</v>
      </c>
      <c r="C7" s="173">
        <f>1+('Исходные данные'!E11/MAX('Исходные данные'!E$11:'Исходные данные'!E$22))</f>
        <v>1.9411764705882353</v>
      </c>
      <c r="D7" s="173">
        <f>1+('Исходные данные'!F11/MAX('Исходные данные'!F$11:'Исходные данные'!F$22))</f>
        <v>1.6666666666666665</v>
      </c>
      <c r="E7" s="149"/>
      <c r="F7" s="150"/>
      <c r="G7" s="148">
        <f>C7+D7+E7+F7</f>
        <v>3.6078431372549016</v>
      </c>
      <c r="H7" s="20"/>
    </row>
    <row r="8" spans="1:8" s="15" customFormat="1" ht="18.75">
      <c r="A8" s="85">
        <v>2</v>
      </c>
      <c r="B8" s="170" t="s">
        <v>179</v>
      </c>
      <c r="C8" s="173">
        <f>1+('Исходные данные'!E12/MAX('Исходные данные'!E$11:'Исходные данные'!E$22))</f>
        <v>1.2941176470588236</v>
      </c>
      <c r="D8" s="173">
        <f>1+('Исходные данные'!F12/MAX('Исходные данные'!F$11:'Исходные данные'!F$22))</f>
        <v>1.5</v>
      </c>
      <c r="E8" s="146"/>
      <c r="F8" s="151"/>
      <c r="G8" s="148">
        <f t="shared" ref="G8:G17" si="1">C8+D8+E8+F8</f>
        <v>2.7941176470588234</v>
      </c>
      <c r="H8" s="20"/>
    </row>
    <row r="9" spans="1:8" s="15" customFormat="1" ht="37.5">
      <c r="A9" s="86">
        <v>3</v>
      </c>
      <c r="B9" s="170" t="s">
        <v>180</v>
      </c>
      <c r="C9" s="173">
        <f>1+('Исходные данные'!E13/MAX('Исходные данные'!E$11:'Исходные данные'!E$22))</f>
        <v>1.4705882352941178</v>
      </c>
      <c r="D9" s="173">
        <f>1+('Исходные данные'!F13/MAX('Исходные данные'!F$11:'Исходные данные'!F$22))</f>
        <v>2</v>
      </c>
      <c r="E9" s="146"/>
      <c r="F9" s="151"/>
      <c r="G9" s="148">
        <f t="shared" si="1"/>
        <v>3.4705882352941178</v>
      </c>
      <c r="H9" s="20"/>
    </row>
    <row r="10" spans="1:8" s="15" customFormat="1" ht="37.5">
      <c r="A10" s="85">
        <v>4</v>
      </c>
      <c r="B10" s="170" t="s">
        <v>181</v>
      </c>
      <c r="C10" s="173">
        <f>1+('Исходные данные'!E14/MAX('Исходные данные'!E$11:'Исходные данные'!E$22))</f>
        <v>1.6470588235294117</v>
      </c>
      <c r="D10" s="173">
        <f>1+('Исходные данные'!F14/MAX('Исходные данные'!F$11:'Исходные данные'!F$22))</f>
        <v>1.5</v>
      </c>
      <c r="E10" s="146"/>
      <c r="F10" s="151"/>
      <c r="G10" s="148">
        <f t="shared" si="1"/>
        <v>3.1470588235294117</v>
      </c>
      <c r="H10" s="20"/>
    </row>
    <row r="11" spans="1:8" s="15" customFormat="1" ht="18.75">
      <c r="A11" s="86">
        <v>5</v>
      </c>
      <c r="B11" s="170" t="s">
        <v>182</v>
      </c>
      <c r="C11" s="173">
        <f>1+('Исходные данные'!E15/MAX('Исходные данные'!E$11:'Исходные данные'!E$22))</f>
        <v>1.3823529411764706</v>
      </c>
      <c r="D11" s="173">
        <f>1+('Исходные данные'!F15/MAX('Исходные данные'!F$11:'Исходные данные'!F$22))</f>
        <v>1.5</v>
      </c>
      <c r="E11" s="146"/>
      <c r="F11" s="151"/>
      <c r="G11" s="148">
        <f t="shared" si="1"/>
        <v>2.8823529411764706</v>
      </c>
      <c r="H11" s="20"/>
    </row>
    <row r="12" spans="1:8" s="15" customFormat="1" ht="37.5">
      <c r="A12" s="85">
        <v>6</v>
      </c>
      <c r="B12" s="170" t="s">
        <v>183</v>
      </c>
      <c r="C12" s="173">
        <f>1+('Исходные данные'!E16/MAX('Исходные данные'!E$11:'Исходные данные'!E$22))</f>
        <v>1.9411764705882353</v>
      </c>
      <c r="D12" s="173">
        <f>1+('Исходные данные'!F16/MAX('Исходные данные'!F$11:'Исходные данные'!F$22))</f>
        <v>1.6666666666666665</v>
      </c>
      <c r="E12" s="146"/>
      <c r="F12" s="151"/>
      <c r="G12" s="148">
        <f t="shared" si="1"/>
        <v>3.6078431372549016</v>
      </c>
      <c r="H12" s="20"/>
    </row>
    <row r="13" spans="1:8" s="15" customFormat="1" ht="37.5">
      <c r="A13" s="86">
        <v>7</v>
      </c>
      <c r="B13" s="170" t="s">
        <v>184</v>
      </c>
      <c r="C13" s="173">
        <f>1+('Исходные данные'!E17/MAX('Исходные данные'!E$11:'Исходные данные'!E$22))</f>
        <v>1.8529411764705883</v>
      </c>
      <c r="D13" s="173">
        <f>1+('Исходные данные'!F17/MAX('Исходные данные'!F$11:'Исходные данные'!F$22))</f>
        <v>1.6666666666666665</v>
      </c>
      <c r="E13" s="146"/>
      <c r="F13" s="151"/>
      <c r="G13" s="148">
        <f t="shared" si="1"/>
        <v>3.5196078431372548</v>
      </c>
      <c r="H13" s="20"/>
    </row>
    <row r="14" spans="1:8" s="15" customFormat="1" ht="37.5">
      <c r="A14" s="85">
        <v>8</v>
      </c>
      <c r="B14" s="170" t="s">
        <v>185</v>
      </c>
      <c r="C14" s="173">
        <f>1+('Исходные данные'!E18/MAX('Исходные данные'!E$11:'Исходные данные'!E$22))</f>
        <v>1.7647058823529411</v>
      </c>
      <c r="D14" s="173">
        <f>1+('Исходные данные'!F18/MAX('Исходные данные'!F$11:'Исходные данные'!F$22))</f>
        <v>1.8333333333333335</v>
      </c>
      <c r="E14" s="146"/>
      <c r="F14" s="151"/>
      <c r="G14" s="148">
        <f t="shared" si="1"/>
        <v>3.5980392156862746</v>
      </c>
      <c r="H14" s="20"/>
    </row>
    <row r="15" spans="1:8" s="15" customFormat="1" ht="37.5">
      <c r="A15" s="86">
        <v>9</v>
      </c>
      <c r="B15" s="170" t="s">
        <v>186</v>
      </c>
      <c r="C15" s="173">
        <f>1+('Исходные данные'!E19/MAX('Исходные данные'!E$11:'Исходные данные'!E$22))</f>
        <v>1.2941176470588236</v>
      </c>
      <c r="D15" s="173">
        <f>1+('Исходные данные'!F19/MAX('Исходные данные'!F$11:'Исходные данные'!F$22))</f>
        <v>1.3333333333333333</v>
      </c>
      <c r="E15" s="145"/>
      <c r="F15" s="151"/>
      <c r="G15" s="148">
        <f t="shared" si="1"/>
        <v>2.6274509803921569</v>
      </c>
      <c r="H15" s="20"/>
    </row>
    <row r="16" spans="1:8" s="15" customFormat="1" ht="37.5">
      <c r="A16" s="85">
        <v>10</v>
      </c>
      <c r="B16" s="170" t="s">
        <v>187</v>
      </c>
      <c r="C16" s="173">
        <f>1+('Исходные данные'!E20/MAX('Исходные данные'!E$11:'Исходные данные'!E$22))</f>
        <v>2</v>
      </c>
      <c r="D16" s="173">
        <f>1+('Исходные данные'!F20/MAX('Исходные данные'!F$11:'Исходные данные'!F$22))</f>
        <v>1.5</v>
      </c>
      <c r="E16" s="146"/>
      <c r="F16" s="151"/>
      <c r="G16" s="148">
        <f t="shared" si="1"/>
        <v>3.5</v>
      </c>
      <c r="H16" s="20"/>
    </row>
    <row r="17" spans="1:8" s="15" customFormat="1" ht="37.5">
      <c r="A17" s="86">
        <v>11</v>
      </c>
      <c r="B17" s="170" t="s">
        <v>188</v>
      </c>
      <c r="C17" s="173">
        <f>1+('Исходные данные'!E21/MAX('Исходные данные'!E$11:'Исходные данные'!E$22))</f>
        <v>1</v>
      </c>
      <c r="D17" s="173">
        <f>1+('Исходные данные'!F21/MAX('Исходные данные'!F$11:'Исходные данные'!F$22))</f>
        <v>1.1666666666666667</v>
      </c>
      <c r="E17" s="146"/>
      <c r="F17" s="151"/>
      <c r="G17" s="148">
        <f t="shared" si="1"/>
        <v>2.166666666666667</v>
      </c>
      <c r="H17" s="20"/>
    </row>
    <row r="19" spans="1:8" ht="116.25" customHeight="1">
      <c r="A19" s="231" t="s">
        <v>87</v>
      </c>
      <c r="B19" s="231"/>
      <c r="C19" s="231"/>
      <c r="D19" s="231"/>
      <c r="E19" s="231"/>
      <c r="F19" s="231"/>
      <c r="G19" s="231"/>
    </row>
  </sheetData>
  <sheetProtection selectLockedCells="1" selectUnlockedCells="1"/>
  <mergeCells count="5">
    <mergeCell ref="A2:G2"/>
    <mergeCell ref="A4:A5"/>
    <mergeCell ref="B4:B5"/>
    <mergeCell ref="G4:G5"/>
    <mergeCell ref="A19:G19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M25"/>
  <sheetViews>
    <sheetView tabSelected="1" zoomScale="75" zoomScaleNormal="75" workbookViewId="0">
      <selection activeCell="Q1" sqref="Q1:GJ1048576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>
      <c r="A1" s="128"/>
      <c r="B1" s="128" t="s">
        <v>191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4" s="5" customFormat="1" ht="16.5" thickBot="1"/>
    <row r="3" spans="1:194" s="38" customFormat="1" ht="34.5" customHeight="1" thickBot="1">
      <c r="A3" s="246" t="s">
        <v>7</v>
      </c>
      <c r="B3" s="249" t="s">
        <v>58</v>
      </c>
      <c r="C3" s="252" t="s">
        <v>9</v>
      </c>
      <c r="D3" s="253"/>
      <c r="E3" s="253"/>
      <c r="F3" s="254"/>
      <c r="G3" s="264" t="s">
        <v>59</v>
      </c>
      <c r="H3" s="265"/>
      <c r="I3" s="265"/>
      <c r="J3" s="266"/>
      <c r="K3" s="272" t="s">
        <v>84</v>
      </c>
      <c r="L3" s="68" t="s">
        <v>51</v>
      </c>
      <c r="M3" s="269" t="s">
        <v>80</v>
      </c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70"/>
      <c r="BC3" s="270"/>
      <c r="BD3" s="270"/>
      <c r="BE3" s="270"/>
      <c r="BF3" s="270"/>
      <c r="BG3" s="270"/>
      <c r="BH3" s="270"/>
      <c r="BI3" s="270"/>
      <c r="BJ3" s="270"/>
      <c r="BK3" s="270"/>
      <c r="BL3" s="270"/>
      <c r="BM3" s="270"/>
      <c r="BN3" s="270"/>
      <c r="BO3" s="270"/>
      <c r="BP3" s="270"/>
      <c r="BQ3" s="270"/>
      <c r="BR3" s="270"/>
      <c r="BS3" s="27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235" t="s">
        <v>85</v>
      </c>
      <c r="GK3" s="243" t="s">
        <v>86</v>
      </c>
      <c r="GL3" s="238" t="s">
        <v>83</v>
      </c>
    </row>
    <row r="4" spans="1:194" s="28" customFormat="1" ht="29.25" customHeight="1">
      <c r="A4" s="247"/>
      <c r="B4" s="250"/>
      <c r="C4" s="257" t="s">
        <v>10</v>
      </c>
      <c r="D4" s="258"/>
      <c r="E4" s="257" t="s">
        <v>11</v>
      </c>
      <c r="F4" s="258"/>
      <c r="G4" s="260" t="s">
        <v>197</v>
      </c>
      <c r="H4" s="241" t="s">
        <v>12</v>
      </c>
      <c r="I4" s="241" t="s">
        <v>64</v>
      </c>
      <c r="J4" s="267" t="s">
        <v>67</v>
      </c>
      <c r="K4" s="273"/>
      <c r="L4" s="262" t="s">
        <v>81</v>
      </c>
      <c r="M4" s="232" t="s">
        <v>13</v>
      </c>
      <c r="N4" s="233"/>
      <c r="O4" s="233"/>
      <c r="P4" s="233"/>
      <c r="Q4" s="259"/>
      <c r="R4" s="232" t="s">
        <v>14</v>
      </c>
      <c r="S4" s="233"/>
      <c r="T4" s="233"/>
      <c r="U4" s="233"/>
      <c r="V4" s="233"/>
      <c r="W4" s="259"/>
      <c r="X4" s="232" t="s">
        <v>15</v>
      </c>
      <c r="Y4" s="233"/>
      <c r="Z4" s="233"/>
      <c r="AA4" s="233"/>
      <c r="AB4" s="233"/>
      <c r="AC4" s="259"/>
      <c r="AD4" s="232" t="s">
        <v>16</v>
      </c>
      <c r="AE4" s="233"/>
      <c r="AF4" s="233"/>
      <c r="AG4" s="233"/>
      <c r="AH4" s="233"/>
      <c r="AI4" s="259"/>
      <c r="AJ4" s="232" t="s">
        <v>17</v>
      </c>
      <c r="AK4" s="233"/>
      <c r="AL4" s="233"/>
      <c r="AM4" s="233"/>
      <c r="AN4" s="233"/>
      <c r="AO4" s="259"/>
      <c r="AP4" s="232" t="s">
        <v>18</v>
      </c>
      <c r="AQ4" s="233"/>
      <c r="AR4" s="233"/>
      <c r="AS4" s="233"/>
      <c r="AT4" s="233"/>
      <c r="AU4" s="259"/>
      <c r="AV4" s="232" t="s">
        <v>19</v>
      </c>
      <c r="AW4" s="233"/>
      <c r="AX4" s="233"/>
      <c r="AY4" s="233"/>
      <c r="AZ4" s="233"/>
      <c r="BA4" s="259"/>
      <c r="BB4" s="232" t="s">
        <v>20</v>
      </c>
      <c r="BC4" s="233"/>
      <c r="BD4" s="233"/>
      <c r="BE4" s="233"/>
      <c r="BF4" s="233"/>
      <c r="BG4" s="259"/>
      <c r="BH4" s="232" t="s">
        <v>21</v>
      </c>
      <c r="BI4" s="233"/>
      <c r="BJ4" s="233"/>
      <c r="BK4" s="233"/>
      <c r="BL4" s="233"/>
      <c r="BM4" s="259"/>
      <c r="BN4" s="232" t="s">
        <v>22</v>
      </c>
      <c r="BO4" s="233"/>
      <c r="BP4" s="233"/>
      <c r="BQ4" s="233"/>
      <c r="BR4" s="233"/>
      <c r="BS4" s="234"/>
      <c r="BT4" s="232" t="s">
        <v>89</v>
      </c>
      <c r="BU4" s="233"/>
      <c r="BV4" s="233"/>
      <c r="BW4" s="233"/>
      <c r="BX4" s="233"/>
      <c r="BY4" s="234"/>
      <c r="BZ4" s="232" t="s">
        <v>92</v>
      </c>
      <c r="CA4" s="233"/>
      <c r="CB4" s="233"/>
      <c r="CC4" s="233"/>
      <c r="CD4" s="233"/>
      <c r="CE4" s="234"/>
      <c r="CF4" s="232" t="s">
        <v>93</v>
      </c>
      <c r="CG4" s="233"/>
      <c r="CH4" s="233"/>
      <c r="CI4" s="233"/>
      <c r="CJ4" s="233"/>
      <c r="CK4" s="234"/>
      <c r="CL4" s="232" t="s">
        <v>98</v>
      </c>
      <c r="CM4" s="233"/>
      <c r="CN4" s="233"/>
      <c r="CO4" s="233"/>
      <c r="CP4" s="233"/>
      <c r="CQ4" s="234"/>
      <c r="CR4" s="232" t="s">
        <v>101</v>
      </c>
      <c r="CS4" s="233"/>
      <c r="CT4" s="233"/>
      <c r="CU4" s="233"/>
      <c r="CV4" s="233"/>
      <c r="CW4" s="234"/>
      <c r="CX4" s="232" t="s">
        <v>104</v>
      </c>
      <c r="CY4" s="233"/>
      <c r="CZ4" s="233"/>
      <c r="DA4" s="233"/>
      <c r="DB4" s="233"/>
      <c r="DC4" s="234"/>
      <c r="DD4" s="232" t="s">
        <v>107</v>
      </c>
      <c r="DE4" s="233"/>
      <c r="DF4" s="233"/>
      <c r="DG4" s="233"/>
      <c r="DH4" s="233"/>
      <c r="DI4" s="234"/>
      <c r="DJ4" s="232" t="s">
        <v>110</v>
      </c>
      <c r="DK4" s="233"/>
      <c r="DL4" s="233"/>
      <c r="DM4" s="233"/>
      <c r="DN4" s="233"/>
      <c r="DO4" s="234"/>
      <c r="DP4" s="232" t="s">
        <v>113</v>
      </c>
      <c r="DQ4" s="233"/>
      <c r="DR4" s="233"/>
      <c r="DS4" s="233"/>
      <c r="DT4" s="233"/>
      <c r="DU4" s="234"/>
      <c r="DV4" s="232" t="s">
        <v>116</v>
      </c>
      <c r="DW4" s="233"/>
      <c r="DX4" s="233"/>
      <c r="DY4" s="233"/>
      <c r="DZ4" s="233"/>
      <c r="EA4" s="234"/>
      <c r="EB4" s="232" t="s">
        <v>138</v>
      </c>
      <c r="EC4" s="233"/>
      <c r="ED4" s="233"/>
      <c r="EE4" s="233"/>
      <c r="EF4" s="233"/>
      <c r="EG4" s="234"/>
      <c r="EH4" s="232" t="s">
        <v>142</v>
      </c>
      <c r="EI4" s="233"/>
      <c r="EJ4" s="233"/>
      <c r="EK4" s="233"/>
      <c r="EL4" s="233"/>
      <c r="EM4" s="234"/>
      <c r="EN4" s="232" t="s">
        <v>146</v>
      </c>
      <c r="EO4" s="233"/>
      <c r="EP4" s="233"/>
      <c r="EQ4" s="233"/>
      <c r="ER4" s="233"/>
      <c r="ES4" s="234"/>
      <c r="ET4" s="232" t="s">
        <v>150</v>
      </c>
      <c r="EU4" s="233"/>
      <c r="EV4" s="233"/>
      <c r="EW4" s="233"/>
      <c r="EX4" s="233"/>
      <c r="EY4" s="234"/>
      <c r="EZ4" s="232" t="s">
        <v>154</v>
      </c>
      <c r="FA4" s="233"/>
      <c r="FB4" s="233"/>
      <c r="FC4" s="233"/>
      <c r="FD4" s="233"/>
      <c r="FE4" s="234"/>
      <c r="FF4" s="232" t="s">
        <v>158</v>
      </c>
      <c r="FG4" s="233"/>
      <c r="FH4" s="233"/>
      <c r="FI4" s="233"/>
      <c r="FJ4" s="233"/>
      <c r="FK4" s="234"/>
      <c r="FL4" s="232" t="s">
        <v>162</v>
      </c>
      <c r="FM4" s="233"/>
      <c r="FN4" s="233"/>
      <c r="FO4" s="233"/>
      <c r="FP4" s="233"/>
      <c r="FQ4" s="234"/>
      <c r="FR4" s="232" t="s">
        <v>166</v>
      </c>
      <c r="FS4" s="233"/>
      <c r="FT4" s="233"/>
      <c r="FU4" s="233"/>
      <c r="FV4" s="233"/>
      <c r="FW4" s="234"/>
      <c r="FX4" s="232" t="s">
        <v>170</v>
      </c>
      <c r="FY4" s="233"/>
      <c r="FZ4" s="233"/>
      <c r="GA4" s="233"/>
      <c r="GB4" s="233"/>
      <c r="GC4" s="234"/>
      <c r="GD4" s="232" t="s">
        <v>173</v>
      </c>
      <c r="GE4" s="233"/>
      <c r="GF4" s="233"/>
      <c r="GG4" s="233"/>
      <c r="GH4" s="233"/>
      <c r="GI4" s="234"/>
      <c r="GJ4" s="236"/>
      <c r="GK4" s="244"/>
      <c r="GL4" s="239"/>
    </row>
    <row r="5" spans="1:194" s="28" customFormat="1" ht="246" customHeight="1" thickBot="1">
      <c r="A5" s="247"/>
      <c r="B5" s="251"/>
      <c r="C5" s="255" t="s">
        <v>70</v>
      </c>
      <c r="D5" s="256"/>
      <c r="E5" s="255" t="s">
        <v>78</v>
      </c>
      <c r="F5" s="256"/>
      <c r="G5" s="261"/>
      <c r="H5" s="242"/>
      <c r="I5" s="242"/>
      <c r="J5" s="268"/>
      <c r="K5" s="274"/>
      <c r="L5" s="263"/>
      <c r="M5" s="65" t="s">
        <v>57</v>
      </c>
      <c r="N5" s="136" t="s">
        <v>128</v>
      </c>
      <c r="O5" s="66" t="s">
        <v>65</v>
      </c>
      <c r="P5" s="66" t="s">
        <v>82</v>
      </c>
      <c r="Q5" s="67" t="s">
        <v>23</v>
      </c>
      <c r="R5" s="65" t="s">
        <v>24</v>
      </c>
      <c r="S5" s="136" t="s">
        <v>129</v>
      </c>
      <c r="T5" s="66" t="s">
        <v>57</v>
      </c>
      <c r="U5" s="66" t="s">
        <v>65</v>
      </c>
      <c r="V5" s="66" t="s">
        <v>82</v>
      </c>
      <c r="W5" s="67" t="s">
        <v>25</v>
      </c>
      <c r="X5" s="65" t="s">
        <v>26</v>
      </c>
      <c r="Y5" s="136" t="s">
        <v>130</v>
      </c>
      <c r="Z5" s="66" t="s">
        <v>57</v>
      </c>
      <c r="AA5" s="66" t="s">
        <v>65</v>
      </c>
      <c r="AB5" s="66" t="s">
        <v>82</v>
      </c>
      <c r="AC5" s="67" t="s">
        <v>27</v>
      </c>
      <c r="AD5" s="65" t="s">
        <v>28</v>
      </c>
      <c r="AE5" s="136" t="s">
        <v>131</v>
      </c>
      <c r="AF5" s="66" t="s">
        <v>57</v>
      </c>
      <c r="AG5" s="66" t="s">
        <v>65</v>
      </c>
      <c r="AH5" s="66" t="s">
        <v>82</v>
      </c>
      <c r="AI5" s="67" t="s">
        <v>29</v>
      </c>
      <c r="AJ5" s="65" t="s">
        <v>30</v>
      </c>
      <c r="AK5" s="136" t="s">
        <v>132</v>
      </c>
      <c r="AL5" s="66" t="s">
        <v>57</v>
      </c>
      <c r="AM5" s="66" t="s">
        <v>65</v>
      </c>
      <c r="AN5" s="66" t="s">
        <v>82</v>
      </c>
      <c r="AO5" s="67" t="s">
        <v>31</v>
      </c>
      <c r="AP5" s="65" t="s">
        <v>32</v>
      </c>
      <c r="AQ5" s="136" t="s">
        <v>133</v>
      </c>
      <c r="AR5" s="66" t="s">
        <v>57</v>
      </c>
      <c r="AS5" s="66" t="s">
        <v>65</v>
      </c>
      <c r="AT5" s="66" t="s">
        <v>82</v>
      </c>
      <c r="AU5" s="67" t="s">
        <v>33</v>
      </c>
      <c r="AV5" s="65" t="s">
        <v>34</v>
      </c>
      <c r="AW5" s="136" t="s">
        <v>134</v>
      </c>
      <c r="AX5" s="66" t="s">
        <v>57</v>
      </c>
      <c r="AY5" s="66" t="s">
        <v>65</v>
      </c>
      <c r="AZ5" s="66" t="s">
        <v>82</v>
      </c>
      <c r="BA5" s="67" t="s">
        <v>35</v>
      </c>
      <c r="BB5" s="65" t="s">
        <v>36</v>
      </c>
      <c r="BC5" s="136" t="s">
        <v>135</v>
      </c>
      <c r="BD5" s="66" t="s">
        <v>57</v>
      </c>
      <c r="BE5" s="66" t="s">
        <v>65</v>
      </c>
      <c r="BF5" s="66" t="s">
        <v>82</v>
      </c>
      <c r="BG5" s="67" t="s">
        <v>37</v>
      </c>
      <c r="BH5" s="65" t="s">
        <v>38</v>
      </c>
      <c r="BI5" s="136" t="s">
        <v>136</v>
      </c>
      <c r="BJ5" s="66" t="s">
        <v>57</v>
      </c>
      <c r="BK5" s="66" t="s">
        <v>65</v>
      </c>
      <c r="BL5" s="66" t="s">
        <v>82</v>
      </c>
      <c r="BM5" s="67" t="s">
        <v>39</v>
      </c>
      <c r="BN5" s="65" t="s">
        <v>40</v>
      </c>
      <c r="BO5" s="136" t="s">
        <v>137</v>
      </c>
      <c r="BP5" s="66" t="s">
        <v>57</v>
      </c>
      <c r="BQ5" s="66" t="s">
        <v>65</v>
      </c>
      <c r="BR5" s="66" t="s">
        <v>82</v>
      </c>
      <c r="BS5" s="79" t="s">
        <v>41</v>
      </c>
      <c r="BT5" s="65" t="s">
        <v>90</v>
      </c>
      <c r="BU5" s="136" t="s">
        <v>119</v>
      </c>
      <c r="BV5" s="134" t="s">
        <v>57</v>
      </c>
      <c r="BW5" s="134" t="s">
        <v>65</v>
      </c>
      <c r="BX5" s="134" t="s">
        <v>82</v>
      </c>
      <c r="BY5" s="135" t="s">
        <v>91</v>
      </c>
      <c r="BZ5" s="65" t="s">
        <v>94</v>
      </c>
      <c r="CA5" s="136" t="s">
        <v>120</v>
      </c>
      <c r="CB5" s="134" t="s">
        <v>57</v>
      </c>
      <c r="CC5" s="134" t="s">
        <v>65</v>
      </c>
      <c r="CD5" s="134" t="s">
        <v>82</v>
      </c>
      <c r="CE5" s="135" t="s">
        <v>95</v>
      </c>
      <c r="CF5" s="65" t="s">
        <v>96</v>
      </c>
      <c r="CG5" s="136" t="s">
        <v>121</v>
      </c>
      <c r="CH5" s="134" t="s">
        <v>57</v>
      </c>
      <c r="CI5" s="134" t="s">
        <v>65</v>
      </c>
      <c r="CJ5" s="134" t="s">
        <v>82</v>
      </c>
      <c r="CK5" s="135" t="s">
        <v>97</v>
      </c>
      <c r="CL5" s="65" t="s">
        <v>99</v>
      </c>
      <c r="CM5" s="136" t="s">
        <v>122</v>
      </c>
      <c r="CN5" s="134" t="s">
        <v>57</v>
      </c>
      <c r="CO5" s="134" t="s">
        <v>65</v>
      </c>
      <c r="CP5" s="134" t="s">
        <v>82</v>
      </c>
      <c r="CQ5" s="135" t="s">
        <v>100</v>
      </c>
      <c r="CR5" s="65" t="s">
        <v>102</v>
      </c>
      <c r="CS5" s="136" t="s">
        <v>123</v>
      </c>
      <c r="CT5" s="134" t="s">
        <v>57</v>
      </c>
      <c r="CU5" s="134" t="s">
        <v>65</v>
      </c>
      <c r="CV5" s="134" t="s">
        <v>82</v>
      </c>
      <c r="CW5" s="135" t="s">
        <v>103</v>
      </c>
      <c r="CX5" s="65" t="s">
        <v>105</v>
      </c>
      <c r="CY5" s="136" t="s">
        <v>124</v>
      </c>
      <c r="CZ5" s="134" t="s">
        <v>57</v>
      </c>
      <c r="DA5" s="134" t="s">
        <v>65</v>
      </c>
      <c r="DB5" s="134" t="s">
        <v>82</v>
      </c>
      <c r="DC5" s="135" t="s">
        <v>106</v>
      </c>
      <c r="DD5" s="65" t="s">
        <v>108</v>
      </c>
      <c r="DE5" s="136" t="s">
        <v>125</v>
      </c>
      <c r="DF5" s="134" t="s">
        <v>57</v>
      </c>
      <c r="DG5" s="134" t="s">
        <v>65</v>
      </c>
      <c r="DH5" s="134" t="s">
        <v>82</v>
      </c>
      <c r="DI5" s="135" t="s">
        <v>109</v>
      </c>
      <c r="DJ5" s="65" t="s">
        <v>111</v>
      </c>
      <c r="DK5" s="134" t="s">
        <v>66</v>
      </c>
      <c r="DL5" s="134" t="s">
        <v>57</v>
      </c>
      <c r="DM5" s="134" t="s">
        <v>65</v>
      </c>
      <c r="DN5" s="134" t="s">
        <v>82</v>
      </c>
      <c r="DO5" s="135" t="s">
        <v>112</v>
      </c>
      <c r="DP5" s="65" t="s">
        <v>114</v>
      </c>
      <c r="DQ5" s="136" t="s">
        <v>126</v>
      </c>
      <c r="DR5" s="134" t="s">
        <v>57</v>
      </c>
      <c r="DS5" s="134" t="s">
        <v>65</v>
      </c>
      <c r="DT5" s="134" t="s">
        <v>82</v>
      </c>
      <c r="DU5" s="135" t="s">
        <v>115</v>
      </c>
      <c r="DV5" s="65" t="s">
        <v>118</v>
      </c>
      <c r="DW5" s="136" t="s">
        <v>127</v>
      </c>
      <c r="DX5" s="134" t="s">
        <v>57</v>
      </c>
      <c r="DY5" s="134" t="s">
        <v>65</v>
      </c>
      <c r="DZ5" s="134" t="s">
        <v>82</v>
      </c>
      <c r="EA5" s="135" t="s">
        <v>117</v>
      </c>
      <c r="EB5" s="65" t="s">
        <v>139</v>
      </c>
      <c r="EC5" s="137" t="s">
        <v>140</v>
      </c>
      <c r="ED5" s="137" t="s">
        <v>57</v>
      </c>
      <c r="EE5" s="137" t="s">
        <v>65</v>
      </c>
      <c r="EF5" s="137" t="s">
        <v>82</v>
      </c>
      <c r="EG5" s="138" t="s">
        <v>141</v>
      </c>
      <c r="EH5" s="65" t="s">
        <v>143</v>
      </c>
      <c r="EI5" s="137" t="s">
        <v>144</v>
      </c>
      <c r="EJ5" s="137" t="s">
        <v>57</v>
      </c>
      <c r="EK5" s="137" t="s">
        <v>65</v>
      </c>
      <c r="EL5" s="137" t="s">
        <v>82</v>
      </c>
      <c r="EM5" s="138" t="s">
        <v>145</v>
      </c>
      <c r="EN5" s="65" t="s">
        <v>147</v>
      </c>
      <c r="EO5" s="137" t="s">
        <v>148</v>
      </c>
      <c r="EP5" s="137" t="s">
        <v>57</v>
      </c>
      <c r="EQ5" s="137" t="s">
        <v>65</v>
      </c>
      <c r="ER5" s="137" t="s">
        <v>82</v>
      </c>
      <c r="ES5" s="138" t="s">
        <v>149</v>
      </c>
      <c r="ET5" s="65" t="s">
        <v>151</v>
      </c>
      <c r="EU5" s="137" t="s">
        <v>152</v>
      </c>
      <c r="EV5" s="137" t="s">
        <v>57</v>
      </c>
      <c r="EW5" s="137" t="s">
        <v>65</v>
      </c>
      <c r="EX5" s="137" t="s">
        <v>82</v>
      </c>
      <c r="EY5" s="138" t="s">
        <v>153</v>
      </c>
      <c r="EZ5" s="65" t="s">
        <v>155</v>
      </c>
      <c r="FA5" s="137" t="s">
        <v>156</v>
      </c>
      <c r="FB5" s="137" t="s">
        <v>57</v>
      </c>
      <c r="FC5" s="137" t="s">
        <v>65</v>
      </c>
      <c r="FD5" s="137" t="s">
        <v>82</v>
      </c>
      <c r="FE5" s="138" t="s">
        <v>157</v>
      </c>
      <c r="FF5" s="65" t="s">
        <v>159</v>
      </c>
      <c r="FG5" s="137" t="s">
        <v>160</v>
      </c>
      <c r="FH5" s="137" t="s">
        <v>57</v>
      </c>
      <c r="FI5" s="137" t="s">
        <v>65</v>
      </c>
      <c r="FJ5" s="137" t="s">
        <v>82</v>
      </c>
      <c r="FK5" s="138" t="s">
        <v>161</v>
      </c>
      <c r="FL5" s="65" t="s">
        <v>163</v>
      </c>
      <c r="FM5" s="137" t="s">
        <v>164</v>
      </c>
      <c r="FN5" s="137" t="s">
        <v>57</v>
      </c>
      <c r="FO5" s="137" t="s">
        <v>65</v>
      </c>
      <c r="FP5" s="137" t="s">
        <v>82</v>
      </c>
      <c r="FQ5" s="138" t="s">
        <v>165</v>
      </c>
      <c r="FR5" s="65" t="s">
        <v>167</v>
      </c>
      <c r="FS5" s="137" t="s">
        <v>168</v>
      </c>
      <c r="FT5" s="137" t="s">
        <v>57</v>
      </c>
      <c r="FU5" s="137" t="s">
        <v>65</v>
      </c>
      <c r="FV5" s="137" t="s">
        <v>82</v>
      </c>
      <c r="FW5" s="138" t="s">
        <v>169</v>
      </c>
      <c r="FX5" s="65" t="s">
        <v>171</v>
      </c>
      <c r="FY5" s="137" t="s">
        <v>175</v>
      </c>
      <c r="FZ5" s="137" t="s">
        <v>57</v>
      </c>
      <c r="GA5" s="137" t="s">
        <v>65</v>
      </c>
      <c r="GB5" s="137" t="s">
        <v>82</v>
      </c>
      <c r="GC5" s="138" t="s">
        <v>172</v>
      </c>
      <c r="GD5" s="65" t="s">
        <v>174</v>
      </c>
      <c r="GE5" s="137" t="s">
        <v>176</v>
      </c>
      <c r="GF5" s="137" t="s">
        <v>57</v>
      </c>
      <c r="GG5" s="137" t="s">
        <v>65</v>
      </c>
      <c r="GH5" s="137" t="s">
        <v>82</v>
      </c>
      <c r="GI5" s="138" t="s">
        <v>177</v>
      </c>
      <c r="GJ5" s="237"/>
      <c r="GK5" s="245"/>
      <c r="GL5" s="240"/>
    </row>
    <row r="6" spans="1:194" s="28" customFormat="1" ht="19.5" thickBot="1">
      <c r="A6" s="248"/>
      <c r="B6" s="107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74</v>
      </c>
      <c r="J6" s="113" t="s">
        <v>69</v>
      </c>
      <c r="K6" s="117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3" t="s">
        <v>52</v>
      </c>
      <c r="BT6" s="70" t="s">
        <v>46</v>
      </c>
      <c r="BU6" s="63" t="s">
        <v>55</v>
      </c>
      <c r="BV6" s="63" t="s">
        <v>47</v>
      </c>
      <c r="BW6" s="63" t="s">
        <v>88</v>
      </c>
      <c r="BX6" s="63" t="s">
        <v>53</v>
      </c>
      <c r="BY6" s="113" t="s">
        <v>52</v>
      </c>
      <c r="BZ6" s="70" t="s">
        <v>46</v>
      </c>
      <c r="CA6" s="63" t="s">
        <v>55</v>
      </c>
      <c r="CB6" s="63" t="s">
        <v>47</v>
      </c>
      <c r="CC6" s="63" t="s">
        <v>88</v>
      </c>
      <c r="CD6" s="63" t="s">
        <v>53</v>
      </c>
      <c r="CE6" s="113" t="s">
        <v>52</v>
      </c>
      <c r="CF6" s="70" t="s">
        <v>46</v>
      </c>
      <c r="CG6" s="63" t="s">
        <v>55</v>
      </c>
      <c r="CH6" s="63" t="s">
        <v>47</v>
      </c>
      <c r="CI6" s="63" t="s">
        <v>88</v>
      </c>
      <c r="CJ6" s="63" t="s">
        <v>53</v>
      </c>
      <c r="CK6" s="113" t="s">
        <v>52</v>
      </c>
      <c r="CL6" s="70" t="s">
        <v>46</v>
      </c>
      <c r="CM6" s="63" t="s">
        <v>55</v>
      </c>
      <c r="CN6" s="63" t="s">
        <v>47</v>
      </c>
      <c r="CO6" s="63" t="s">
        <v>88</v>
      </c>
      <c r="CP6" s="63" t="s">
        <v>53</v>
      </c>
      <c r="CQ6" s="113" t="s">
        <v>52</v>
      </c>
      <c r="CR6" s="70" t="s">
        <v>46</v>
      </c>
      <c r="CS6" s="63" t="s">
        <v>55</v>
      </c>
      <c r="CT6" s="63" t="s">
        <v>47</v>
      </c>
      <c r="CU6" s="63" t="s">
        <v>88</v>
      </c>
      <c r="CV6" s="63" t="s">
        <v>53</v>
      </c>
      <c r="CW6" s="113" t="s">
        <v>52</v>
      </c>
      <c r="CX6" s="70" t="s">
        <v>46</v>
      </c>
      <c r="CY6" s="63" t="s">
        <v>55</v>
      </c>
      <c r="CZ6" s="63" t="s">
        <v>47</v>
      </c>
      <c r="DA6" s="63" t="s">
        <v>88</v>
      </c>
      <c r="DB6" s="63" t="s">
        <v>53</v>
      </c>
      <c r="DC6" s="113" t="s">
        <v>52</v>
      </c>
      <c r="DD6" s="70" t="s">
        <v>46</v>
      </c>
      <c r="DE6" s="63" t="s">
        <v>55</v>
      </c>
      <c r="DF6" s="63" t="s">
        <v>47</v>
      </c>
      <c r="DG6" s="63" t="s">
        <v>88</v>
      </c>
      <c r="DH6" s="63" t="s">
        <v>53</v>
      </c>
      <c r="DI6" s="113" t="s">
        <v>52</v>
      </c>
      <c r="DJ6" s="70" t="s">
        <v>46</v>
      </c>
      <c r="DK6" s="63" t="s">
        <v>55</v>
      </c>
      <c r="DL6" s="63" t="s">
        <v>47</v>
      </c>
      <c r="DM6" s="63" t="s">
        <v>88</v>
      </c>
      <c r="DN6" s="63" t="s">
        <v>53</v>
      </c>
      <c r="DO6" s="113" t="s">
        <v>52</v>
      </c>
      <c r="DP6" s="70" t="s">
        <v>46</v>
      </c>
      <c r="DQ6" s="63" t="s">
        <v>55</v>
      </c>
      <c r="DR6" s="63" t="s">
        <v>47</v>
      </c>
      <c r="DS6" s="63" t="s">
        <v>88</v>
      </c>
      <c r="DT6" s="63" t="s">
        <v>53</v>
      </c>
      <c r="DU6" s="113" t="s">
        <v>52</v>
      </c>
      <c r="DV6" s="70" t="s">
        <v>46</v>
      </c>
      <c r="DW6" s="63" t="s">
        <v>55</v>
      </c>
      <c r="DX6" s="63" t="s">
        <v>47</v>
      </c>
      <c r="DY6" s="63" t="s">
        <v>88</v>
      </c>
      <c r="DZ6" s="63" t="s">
        <v>53</v>
      </c>
      <c r="EA6" s="113" t="s">
        <v>52</v>
      </c>
      <c r="EB6" s="70" t="s">
        <v>46</v>
      </c>
      <c r="EC6" s="63" t="s">
        <v>55</v>
      </c>
      <c r="ED6" s="63" t="s">
        <v>47</v>
      </c>
      <c r="EE6" s="63" t="s">
        <v>88</v>
      </c>
      <c r="EF6" s="63" t="s">
        <v>53</v>
      </c>
      <c r="EG6" s="113" t="s">
        <v>52</v>
      </c>
      <c r="EH6" s="70" t="s">
        <v>46</v>
      </c>
      <c r="EI6" s="63" t="s">
        <v>55</v>
      </c>
      <c r="EJ6" s="63" t="s">
        <v>47</v>
      </c>
      <c r="EK6" s="63" t="s">
        <v>88</v>
      </c>
      <c r="EL6" s="63" t="s">
        <v>53</v>
      </c>
      <c r="EM6" s="113" t="s">
        <v>52</v>
      </c>
      <c r="EN6" s="70" t="s">
        <v>46</v>
      </c>
      <c r="EO6" s="63" t="s">
        <v>55</v>
      </c>
      <c r="EP6" s="63" t="s">
        <v>47</v>
      </c>
      <c r="EQ6" s="63" t="s">
        <v>88</v>
      </c>
      <c r="ER6" s="63" t="s">
        <v>53</v>
      </c>
      <c r="ES6" s="113" t="s">
        <v>52</v>
      </c>
      <c r="ET6" s="70" t="s">
        <v>46</v>
      </c>
      <c r="EU6" s="63" t="s">
        <v>55</v>
      </c>
      <c r="EV6" s="63" t="s">
        <v>47</v>
      </c>
      <c r="EW6" s="63" t="s">
        <v>88</v>
      </c>
      <c r="EX6" s="63" t="s">
        <v>53</v>
      </c>
      <c r="EY6" s="113" t="s">
        <v>52</v>
      </c>
      <c r="EZ6" s="70" t="s">
        <v>46</v>
      </c>
      <c r="FA6" s="63" t="s">
        <v>55</v>
      </c>
      <c r="FB6" s="63" t="s">
        <v>47</v>
      </c>
      <c r="FC6" s="63" t="s">
        <v>88</v>
      </c>
      <c r="FD6" s="63" t="s">
        <v>53</v>
      </c>
      <c r="FE6" s="113" t="s">
        <v>52</v>
      </c>
      <c r="FF6" s="70" t="s">
        <v>46</v>
      </c>
      <c r="FG6" s="63" t="s">
        <v>55</v>
      </c>
      <c r="FH6" s="63" t="s">
        <v>47</v>
      </c>
      <c r="FI6" s="63" t="s">
        <v>88</v>
      </c>
      <c r="FJ6" s="63" t="s">
        <v>53</v>
      </c>
      <c r="FK6" s="113" t="s">
        <v>52</v>
      </c>
      <c r="FL6" s="70" t="s">
        <v>46</v>
      </c>
      <c r="FM6" s="63" t="s">
        <v>55</v>
      </c>
      <c r="FN6" s="63" t="s">
        <v>47</v>
      </c>
      <c r="FO6" s="63" t="s">
        <v>88</v>
      </c>
      <c r="FP6" s="63" t="s">
        <v>53</v>
      </c>
      <c r="FQ6" s="113" t="s">
        <v>52</v>
      </c>
      <c r="FR6" s="70" t="s">
        <v>46</v>
      </c>
      <c r="FS6" s="63" t="s">
        <v>55</v>
      </c>
      <c r="FT6" s="63" t="s">
        <v>47</v>
      </c>
      <c r="FU6" s="63" t="s">
        <v>88</v>
      </c>
      <c r="FV6" s="63" t="s">
        <v>53</v>
      </c>
      <c r="FW6" s="113" t="s">
        <v>52</v>
      </c>
      <c r="FX6" s="70" t="s">
        <v>46</v>
      </c>
      <c r="FY6" s="63" t="s">
        <v>55</v>
      </c>
      <c r="FZ6" s="63" t="s">
        <v>47</v>
      </c>
      <c r="GA6" s="63" t="s">
        <v>88</v>
      </c>
      <c r="GB6" s="63" t="s">
        <v>53</v>
      </c>
      <c r="GC6" s="113" t="s">
        <v>52</v>
      </c>
      <c r="GD6" s="70" t="s">
        <v>46</v>
      </c>
      <c r="GE6" s="63" t="s">
        <v>55</v>
      </c>
      <c r="GF6" s="63" t="s">
        <v>47</v>
      </c>
      <c r="GG6" s="63" t="s">
        <v>88</v>
      </c>
      <c r="GH6" s="63" t="s">
        <v>53</v>
      </c>
      <c r="GI6" s="113" t="s">
        <v>52</v>
      </c>
      <c r="GJ6" s="161" t="s">
        <v>52</v>
      </c>
      <c r="GK6" s="159" t="s">
        <v>60</v>
      </c>
      <c r="GL6" s="80" t="s">
        <v>79</v>
      </c>
    </row>
    <row r="7" spans="1:194" s="29" customFormat="1" thickBot="1">
      <c r="A7" s="104">
        <v>1</v>
      </c>
      <c r="B7" s="108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3">
        <f>F7+1</f>
        <v>7</v>
      </c>
      <c r="H7" s="60">
        <f t="shared" si="0"/>
        <v>8</v>
      </c>
      <c r="I7" s="60">
        <f t="shared" ref="I7:L7" si="1">H7+1</f>
        <v>9</v>
      </c>
      <c r="J7" s="114">
        <f>I7+1</f>
        <v>10</v>
      </c>
      <c r="K7" s="118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4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4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4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4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4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4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4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4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4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4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4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4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4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4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4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4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4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4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4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4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4">
        <f t="shared" ref="GI7" si="103">GH7+1</f>
        <v>191</v>
      </c>
      <c r="GJ7" s="61">
        <f>GI7+1</f>
        <v>192</v>
      </c>
      <c r="GK7" s="160">
        <f>GJ7+1</f>
        <v>193</v>
      </c>
      <c r="GL7" s="81">
        <f>GK7+1</f>
        <v>194</v>
      </c>
    </row>
    <row r="8" spans="1:194" s="30" customFormat="1" thickBot="1">
      <c r="A8" s="105" t="s">
        <v>3</v>
      </c>
      <c r="B8" s="109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5" t="s">
        <v>68</v>
      </c>
      <c r="K8" s="119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5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5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5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5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5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5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5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5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5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5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65" t="s">
        <v>4</v>
      </c>
      <c r="EA8" s="115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65" t="s">
        <v>4</v>
      </c>
      <c r="EG8" s="115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65" t="s">
        <v>4</v>
      </c>
      <c r="EM8" s="115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65" t="s">
        <v>4</v>
      </c>
      <c r="EY8" s="115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65" t="s">
        <v>4</v>
      </c>
      <c r="FE8" s="115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65" t="s">
        <v>4</v>
      </c>
      <c r="FK8" s="115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65" t="s">
        <v>4</v>
      </c>
      <c r="FQ8" s="115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65" t="s">
        <v>4</v>
      </c>
      <c r="FW8" s="115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65" t="s">
        <v>4</v>
      </c>
      <c r="GC8" s="115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65" t="s">
        <v>4</v>
      </c>
      <c r="GI8" s="115" t="s">
        <v>4</v>
      </c>
      <c r="GJ8" s="163" t="s">
        <v>4</v>
      </c>
      <c r="GK8" s="162" t="s">
        <v>4</v>
      </c>
      <c r="GL8" s="82" t="s">
        <v>50</v>
      </c>
    </row>
    <row r="9" spans="1:194" s="1" customFormat="1" ht="37.5">
      <c r="A9" s="170" t="s">
        <v>178</v>
      </c>
      <c r="B9" s="174" t="s">
        <v>8</v>
      </c>
      <c r="C9" s="174" t="s">
        <v>8</v>
      </c>
      <c r="D9" s="174" t="s">
        <v>8</v>
      </c>
      <c r="E9" s="174" t="s">
        <v>8</v>
      </c>
      <c r="F9" s="174" t="s">
        <v>8</v>
      </c>
      <c r="G9" s="175">
        <f>'Исходные данные'!C11</f>
        <v>1092</v>
      </c>
      <c r="H9" s="176">
        <f>'Исходные данные'!D11</f>
        <v>4578195</v>
      </c>
      <c r="I9" s="177">
        <f>'Расчет КРП'!G7</f>
        <v>3.6078431372549016</v>
      </c>
      <c r="J9" s="178" t="s">
        <v>8</v>
      </c>
      <c r="K9" s="154">
        <f t="shared" ref="K9:K19" si="104">((H9/G9)/($H$20/$G$20))/I9</f>
        <v>0.68978895218370062</v>
      </c>
      <c r="L9" s="155">
        <f t="shared" ref="L9:L19" si="105">$D$20*G9/$G$20</f>
        <v>923183.57467118639</v>
      </c>
      <c r="M9" s="179">
        <f t="shared" ref="M9:M19" si="106">(((H9+L9)/G9)/$J$20)/I9</f>
        <v>0.82888347101604398</v>
      </c>
      <c r="N9" s="180" t="s">
        <v>8</v>
      </c>
      <c r="O9" s="181">
        <f t="shared" ref="O9:O19" si="107">$N$20-M9</f>
        <v>-0.26328631912426526</v>
      </c>
      <c r="P9" s="182">
        <f t="shared" ref="P9:P19" si="108">IF(O9&gt;0,G9*I9*(($H$20+$L$20)/$G$20)*O9,0)</f>
        <v>0</v>
      </c>
      <c r="Q9" s="183">
        <f t="shared" ref="Q9:Q19" si="109">IF(($F$20-P$20)&gt;0,P9,$F$20*P9/P$20)</f>
        <v>0</v>
      </c>
      <c r="R9" s="184" t="s">
        <v>8</v>
      </c>
      <c r="S9" s="185" t="s">
        <v>8</v>
      </c>
      <c r="T9" s="186">
        <f t="shared" ref="T9:T19" si="110">(((H9+L9+Q9)/G9)/$J$20)/I9</f>
        <v>0.82888347101604398</v>
      </c>
      <c r="U9" s="187">
        <f t="shared" ref="U9:U19" si="111">S$20-T9</f>
        <v>-0.15264464549353296</v>
      </c>
      <c r="V9" s="188">
        <f t="shared" ref="V9:V19" si="112">IF(U9&gt;0,$G9*$I9*(($H$20+$L$20+$Q$20)/$G$20)*U9,0)</f>
        <v>0</v>
      </c>
      <c r="W9" s="189">
        <f t="shared" ref="W9:W19" si="113">IF((R$20-V$20)&gt;0,V9,R$20*V9/V$20)</f>
        <v>0</v>
      </c>
      <c r="X9" s="190" t="s">
        <v>8</v>
      </c>
      <c r="Y9" s="185" t="s">
        <v>8</v>
      </c>
      <c r="Z9" s="186">
        <f t="shared" ref="Z9:Z19" si="114">(((H9+L9+Q9+W9)/G9)/$J$20)/I9</f>
        <v>0.82888347101604398</v>
      </c>
      <c r="AA9" s="187">
        <f t="shared" ref="AA9:AA19" si="115">Y$20-Z9</f>
        <v>-0.15264464549353296</v>
      </c>
      <c r="AB9" s="188">
        <f t="shared" ref="AB9:AB19" si="116">IF(AA9&gt;0,$G9*$I9*(($H$20+$L$20+$Q$20+$W$20)/$G$20)*AA9,0)</f>
        <v>0</v>
      </c>
      <c r="AC9" s="189">
        <f t="shared" ref="AC9:AC19" si="117">IF((X$20-AB$20)&gt;0,AB9,X$20*AB9/AB$20)</f>
        <v>0</v>
      </c>
      <c r="AD9" s="190" t="s">
        <v>8</v>
      </c>
      <c r="AE9" s="185" t="s">
        <v>8</v>
      </c>
      <c r="AF9" s="186">
        <f t="shared" ref="AF9:AF19" si="118">(((H9+L9+Q9+W9+AC9)/G9)/$J$20)/I9</f>
        <v>0.82888347101604398</v>
      </c>
      <c r="AG9" s="187">
        <f t="shared" ref="AG9:AG19" si="119">AE$20-AF9</f>
        <v>-0.15264464549353296</v>
      </c>
      <c r="AH9" s="188">
        <f t="shared" ref="AH9:AH19" si="120">IF(AG9&gt;0,$G9*$I9*(($H$20+$L$20+$Q$20+$W$20+$AC$20)/$G$20)*AG9,0)</f>
        <v>0</v>
      </c>
      <c r="AI9" s="189">
        <f t="shared" ref="AI9:AI19" si="121">IF((AD$20-AH$20)&gt;0,AH9,AD$20*AH9/AH$20)</f>
        <v>0</v>
      </c>
      <c r="AJ9" s="190" t="s">
        <v>8</v>
      </c>
      <c r="AK9" s="185" t="s">
        <v>8</v>
      </c>
      <c r="AL9" s="186">
        <f t="shared" ref="AL9:AL19" si="122">(((H9+L9+Q9+W9+AC9+AI9)/G9)/$J$20)/I9</f>
        <v>0.82888347101604398</v>
      </c>
      <c r="AM9" s="187">
        <f t="shared" ref="AM9:AM19" si="123">AK$20-AL9</f>
        <v>-0.15264464549353296</v>
      </c>
      <c r="AN9" s="188">
        <f t="shared" ref="AN9:AN19" si="124">IF(AM9&gt;0,$G9*$I9*(($H$20+$L$20+$Q$20+$W$20+$AC$20+$AI$20)/$G$20)*AM9,0)</f>
        <v>0</v>
      </c>
      <c r="AO9" s="189">
        <f t="shared" ref="AO9:AO19" si="125">IF((AJ$20-AN$20)&gt;0,AN9,AJ$20*AN9/AN$20)</f>
        <v>0</v>
      </c>
      <c r="AP9" s="190" t="s">
        <v>8</v>
      </c>
      <c r="AQ9" s="185" t="s">
        <v>8</v>
      </c>
      <c r="AR9" s="186">
        <f t="shared" ref="AR9:AR19" si="126">(((H9+L9+Q9+W9+AC9+AI9+AO9)/G9)/$J$20)/I9</f>
        <v>0.82888347101604398</v>
      </c>
      <c r="AS9" s="187">
        <f t="shared" ref="AS9:AS19" si="127">AQ$20-AR9</f>
        <v>-0.15264464549353296</v>
      </c>
      <c r="AT9" s="188">
        <f t="shared" ref="AT9:AT19" si="128">IF(AS9&gt;0,$G9*$I9*(($H$20+$L$20+$Q$20+$W$20+$AC$20+$AI$20+$AO$20)/$G$20)*AS9,0)</f>
        <v>0</v>
      </c>
      <c r="AU9" s="189">
        <f t="shared" ref="AU9:AU19" si="129">IF((AP$20-AT$20)&gt;0,AT9,AP$20*AT9/AT$20)</f>
        <v>0</v>
      </c>
      <c r="AV9" s="190" t="s">
        <v>8</v>
      </c>
      <c r="AW9" s="185" t="s">
        <v>8</v>
      </c>
      <c r="AX9" s="186">
        <f t="shared" ref="AX9:AX19" si="130">(((H9+L9+Q9+W9+AC9+AI9+AO9+AU9)/G9)/$J$20)/I9</f>
        <v>0.82888347101604398</v>
      </c>
      <c r="AY9" s="187">
        <f t="shared" ref="AY9:AY19" si="131">AW$20-AX9</f>
        <v>-0.15264464549353296</v>
      </c>
      <c r="AZ9" s="188">
        <f t="shared" ref="AZ9:AZ19" si="132">IF(AY9&gt;0,$G9*$I9*(($H$20+$L$20+$Q$20+$W$20+$AC$20+$AI$20+$AO$20+$AU$20)/$G$20)*AY9,0)</f>
        <v>0</v>
      </c>
      <c r="BA9" s="189">
        <f t="shared" ref="BA9:BA19" si="133">IF((AV$20-AZ$20)&gt;0,AZ9,AV$20*AZ9/AZ$20)</f>
        <v>0</v>
      </c>
      <c r="BB9" s="190" t="s">
        <v>8</v>
      </c>
      <c r="BC9" s="185" t="s">
        <v>8</v>
      </c>
      <c r="BD9" s="186">
        <f t="shared" ref="BD9:BD19" si="134">(((H9+L9+Q9+W9+AC9+AI9+AO9+AU9+BA9)/G9)/$J$20)/I9</f>
        <v>0.82888347101604398</v>
      </c>
      <c r="BE9" s="187">
        <f t="shared" ref="BE9:BE19" si="135">BC$20-BD9</f>
        <v>-0.15264464549353296</v>
      </c>
      <c r="BF9" s="188">
        <f t="shared" ref="BF9:BF19" si="136">IF(BE9&gt;0,$G9*$I9*(($H$20+$L$20+$Q$20+$W$20+$AC$20+$AI$20+$AO$20+$AU$20+$BA$20)/$G$20)*BE9,0)</f>
        <v>0</v>
      </c>
      <c r="BG9" s="189">
        <f t="shared" ref="BG9:BG19" si="137">IF((BB$20-BF$20)&gt;0,BF9,BB$20*BF9/BF$20)</f>
        <v>0</v>
      </c>
      <c r="BH9" s="190" t="s">
        <v>8</v>
      </c>
      <c r="BI9" s="185" t="s">
        <v>8</v>
      </c>
      <c r="BJ9" s="186">
        <f t="shared" ref="BJ9:BJ19" si="138">(((H9+L9+Q9+W9+AC9+AI9+AO9+AU9+BA9+BG9)/G9)/$J$20)/I9</f>
        <v>0.82888347101604398</v>
      </c>
      <c r="BK9" s="187">
        <f t="shared" ref="BK9:BK19" si="139">BI$20-BJ9</f>
        <v>-0.15264464549353296</v>
      </c>
      <c r="BL9" s="188">
        <f t="shared" ref="BL9:BL19" si="140">IF(BK9&gt;0,$G9*$I9*(($H$20+$L$20+$Q$20+$W$20+$AC$20+$AI$20+$AO$20+$AU$20+$BA$20+$BG$20)/$G$20)*BK9,0)</f>
        <v>0</v>
      </c>
      <c r="BM9" s="189">
        <f t="shared" ref="BM9:BM19" si="141">IF((BH$20-BL$20)&gt;0,BL9,BH$20*BL9/BL$20)</f>
        <v>0</v>
      </c>
      <c r="BN9" s="190" t="s">
        <v>8</v>
      </c>
      <c r="BO9" s="185" t="s">
        <v>8</v>
      </c>
      <c r="BP9" s="186">
        <f t="shared" ref="BP9:BP19" si="142">(((H9+L9+Q9+W9+AC9+AI9+AO9+AU9+BA9+BG9+BM9)/G9)/$J$20)/I9</f>
        <v>0.82888347101604398</v>
      </c>
      <c r="BQ9" s="187">
        <f t="shared" ref="BQ9:BQ19" si="143">BO$20-BP9</f>
        <v>-0.15264464549353296</v>
      </c>
      <c r="BR9" s="188">
        <f t="shared" ref="BR9:BR19" si="144">IF(BQ9&gt;0,$G9*$I9*(($H$20+$L$20+$Q$20+$W$20+$AC$20+$AI$20+$AO$20+$AU$20+$BA$20+$BG$20+$BM$20)/$G$20)*BQ9,0)</f>
        <v>0</v>
      </c>
      <c r="BS9" s="191">
        <f t="shared" ref="BS9:BS19" si="145">IF((BN$20-BR$20)&gt;0,BR9,BN$20*BR9/BR$20)</f>
        <v>0</v>
      </c>
      <c r="BT9" s="190" t="s">
        <v>8</v>
      </c>
      <c r="BU9" s="185" t="s">
        <v>8</v>
      </c>
      <c r="BV9" s="186">
        <f t="shared" ref="BV9:BV19" si="146">(((H9+L9+Q9+W9+AC9+AI9+AO9+AU9+BA9+BG9+BM9+BS9)/G9)/$J$20)/I9</f>
        <v>0.82888347101604398</v>
      </c>
      <c r="BW9" s="187">
        <f t="shared" ref="BW9:BW19" si="147">BU$20-BV9</f>
        <v>-0.15264464549353296</v>
      </c>
      <c r="BX9" s="188">
        <f t="shared" ref="BX9:BX19" si="148">IF(BW9&gt;0,$G9*$I9*(($H$20+$L$20+$Q$20+$W$20+$AC$20+$AI$20+$AO$20+$AU$20+$BA$20+$BG$20+$BM$20+$BS$20)/$G$20)*BW9,0)</f>
        <v>0</v>
      </c>
      <c r="BY9" s="191">
        <f t="shared" ref="BY9:BY19" si="149">IF((BT$20-BX$20)&gt;0,BX9,BT$20*BX9/BX$20)</f>
        <v>0</v>
      </c>
      <c r="BZ9" s="190" t="s">
        <v>8</v>
      </c>
      <c r="CA9" s="185" t="s">
        <v>8</v>
      </c>
      <c r="CB9" s="186">
        <f t="shared" ref="CB9:CB19" si="150">(((H9+L9+Q9+W9+AC9+AI9+AO9+AU9+BA9+BG9+BM9+BS9+BY9)/G9)/$J$20)/I9</f>
        <v>0.82888347101604398</v>
      </c>
      <c r="CC9" s="187">
        <f t="shared" ref="CC9:CC19" si="151">CA$20-CB9</f>
        <v>-0.15264464549353296</v>
      </c>
      <c r="CD9" s="188">
        <f t="shared" ref="CD9:CD19" si="152">IF(CC9&gt;0,$G9*$I9*(($H$20+$L$20+$Q$20+$W$20+$AC$20+$AI$20+$AO$20+$AU$20+$BA$20+$BG$20+$BM$20+$BS$20+$BY$20)/$G$20)*CC9,0)</f>
        <v>0</v>
      </c>
      <c r="CE9" s="191">
        <f t="shared" ref="CE9:CE19" si="153">IF((BZ$20-CD$20)&gt;0,CD9,BZ$20*CD9/CD$20)</f>
        <v>0</v>
      </c>
      <c r="CF9" s="190" t="s">
        <v>8</v>
      </c>
      <c r="CG9" s="185" t="s">
        <v>8</v>
      </c>
      <c r="CH9" s="186">
        <f t="shared" ref="CH9:CH19" si="154">(((H9+L9+Q9+W9+AC9+AI9+AO9+AU9+BA9+BG9+BM9+BS9+BY9+CE9)/G9)/$J$20)/I9</f>
        <v>0.82888347101604398</v>
      </c>
      <c r="CI9" s="187">
        <f t="shared" ref="CI9:CI19" si="155">CG$20-CH9</f>
        <v>-0.15264464549353296</v>
      </c>
      <c r="CJ9" s="188">
        <f t="shared" ref="CJ9:CJ19" si="156">IF(CI9&gt;0,$G9*$I9*(($H$20+$L$20+$Q$20+$W$20+$AC$20+$AI$20+$AO$20+$AU$20+$BA$20+$BG$20+$BM$20+$BS$20+$BY$20+$CE$20)/$G$20)*CI9,0)</f>
        <v>0</v>
      </c>
      <c r="CK9" s="191">
        <f t="shared" ref="CK9:CK19" si="157">IF((CF$20-CJ$20)&gt;0,CJ9,CF$20*CJ9/CJ$20)</f>
        <v>0</v>
      </c>
      <c r="CL9" s="190" t="s">
        <v>8</v>
      </c>
      <c r="CM9" s="185" t="s">
        <v>8</v>
      </c>
      <c r="CN9" s="186">
        <f t="shared" ref="CN9:CN19" si="158">(((H9+L9+Q9+W9+AC9+AI9+AO9+AU9+BA9+BG9+BM9+BS9+BY9+CE9+CK9)/G9)/$J$20)/I9</f>
        <v>0.82888347101604398</v>
      </c>
      <c r="CO9" s="187">
        <f t="shared" ref="CO9:CO19" si="159">CM$20-CN9</f>
        <v>-0.15264464549353296</v>
      </c>
      <c r="CP9" s="188">
        <f t="shared" ref="CP9:CP19" si="160">IF(CO9&gt;0,$G9*$I9*(($H$20+$L$20+$Q$20+$W$20+$AC$20+$AI$20+$AO$20+$AU$20+$BA$20+$BG$20+$BM$20+$BS$20+$BY$20+$CE$20+$CK$20)/$G$20)*CO9,0)</f>
        <v>0</v>
      </c>
      <c r="CQ9" s="191">
        <f t="shared" ref="CQ9:CQ19" si="161">IF((CL$20-CP$20)&gt;0,CP9,CL$20*CP9/CP$20)</f>
        <v>0</v>
      </c>
      <c r="CR9" s="190" t="s">
        <v>8</v>
      </c>
      <c r="CS9" s="185" t="s">
        <v>8</v>
      </c>
      <c r="CT9" s="186">
        <f t="shared" ref="CT9:CT19" si="162">(((H9+L9+Q9+W9+AC9+AI9+AO9+AU9+BA9+BG9+BM9+BS9+BY9+CE9+CK9+CQ9)/G9)/$J$20)/I9</f>
        <v>0.82888347101604398</v>
      </c>
      <c r="CU9" s="187">
        <f t="shared" ref="CU9:CU19" si="163">CS$20-CT9</f>
        <v>-0.15264464549353296</v>
      </c>
      <c r="CV9" s="188">
        <f t="shared" ref="CV9:CV19" si="164">IF(CU9&gt;0,$G9*$I9*(($H$20+$L$20+$Q$20+$W$20+$AC$20+$AI$20+$AO$20+$AU$20+$BA$20+$BG$20+$BM$20+$BS$20+$BY$20+$CE$20+$CK$20+$CQ$20)/$G$20)*CU9,0)</f>
        <v>0</v>
      </c>
      <c r="CW9" s="191">
        <f t="shared" ref="CW9:CW19" si="165">IF((CR$20-CV$20)&gt;0,CV9,CR$20*CV9/CV$20)</f>
        <v>0</v>
      </c>
      <c r="CX9" s="190" t="s">
        <v>8</v>
      </c>
      <c r="CY9" s="185" t="s">
        <v>8</v>
      </c>
      <c r="CZ9" s="186">
        <f t="shared" ref="CZ9:CZ19" si="166">(((H9+L9+Q9+W9+AC9+AI9+AO9+AU9+BA9+BG9+BM9+BS9+BY9+CE9+CK9+CQ9+CW9)/G9)/$J$20)/I9</f>
        <v>0.82888347101604398</v>
      </c>
      <c r="DA9" s="187">
        <f t="shared" ref="DA9:DA19" si="167">CY$20-CZ9</f>
        <v>-0.15264464549353296</v>
      </c>
      <c r="DB9" s="188">
        <f t="shared" ref="DB9:DB19" si="168">IF(DA9&gt;0,$G9*$I9*(($H$20+$L$20+$Q$20+$W$20+$AC$20+$AI$20+$AO$20+$AU$20+$BA$20+$BG$20+$BM$20+$BS$20+$BY$20+$CE$20+$CK$20+$CQ$20+$CW$20)/$G$20)*DA9,0)</f>
        <v>0</v>
      </c>
      <c r="DC9" s="191">
        <f t="shared" ref="DC9:DC19" si="169">IF((CX$20-DB$20)&gt;0,DB9,CX$20*DB9/DB$20)</f>
        <v>0</v>
      </c>
      <c r="DD9" s="190" t="s">
        <v>8</v>
      </c>
      <c r="DE9" s="185" t="s">
        <v>8</v>
      </c>
      <c r="DF9" s="186">
        <f t="shared" ref="DF9:DF19" si="170">(((H9+L9+Q9+W9+AC9+AI9+AO9+AU9+BA9+BG9+BM9+BS9+BY9+CE9+CK9+CQ9+CW9+DC9)/G9)/$J$20)/I9</f>
        <v>0.82888347101604398</v>
      </c>
      <c r="DG9" s="187">
        <f t="shared" ref="DG9:DG19" si="171">DE$20-DF9</f>
        <v>-0.15264464549353296</v>
      </c>
      <c r="DH9" s="188">
        <f t="shared" ref="DH9:DH19" si="172">IF(DG9&gt;0,$G9*$I9*(($H$20+$L$20+$Q$20+$W$20+$AC$20+$AI$20+$AO$20+$AU$20+$BA$20+$BG$20+$BM$20+$BS$20+$BY$20+$CE$20+$CK$20+$CQ$20+$CW$20+$DC$20)/$G$20)*DG9,0)</f>
        <v>0</v>
      </c>
      <c r="DI9" s="191">
        <f t="shared" ref="DI9:DI19" si="173">IF((DD$20-DH$20)&gt;0,DH9,DD$20*DH9/DH$20)</f>
        <v>0</v>
      </c>
      <c r="DJ9" s="190" t="s">
        <v>8</v>
      </c>
      <c r="DK9" s="185" t="s">
        <v>8</v>
      </c>
      <c r="DL9" s="186">
        <f t="shared" ref="DL9:DL19" si="174">(((H9+L9+Q9+W9+AC9+AI9+AO9+AU9+BA9+BG9+BM9+BS9+BY9+CE9+CK9+CQ9+CW9+DC9+DI9)/G9)/$J$20)/I9</f>
        <v>0.82888347101604398</v>
      </c>
      <c r="DM9" s="187">
        <f t="shared" ref="DM9:DM19" si="175">DK$20-DL9</f>
        <v>-0.15264464549353296</v>
      </c>
      <c r="DN9" s="188">
        <f t="shared" ref="DN9:DN19" si="176">IF(DM9&gt;0,$G9*$I9*(($H$20+$L$20+$Q$20+$W$20+$AC$20+$AI$20+$AO$20+$AU$20+$BA$20+$BG$20+$BM$20+$BS$20+$BY$20+$CE$20+$CK$20+$CQ$20+$CW$20+$DC$20+$DI$20)/$G$20)*DM9,0)</f>
        <v>0</v>
      </c>
      <c r="DO9" s="191">
        <f t="shared" ref="DO9:DO19" si="177">IF((DJ$20-DN$20)&gt;0,DN9,DJ$20*DN9/DN$20)</f>
        <v>0</v>
      </c>
      <c r="DP9" s="190" t="s">
        <v>8</v>
      </c>
      <c r="DQ9" s="185" t="s">
        <v>8</v>
      </c>
      <c r="DR9" s="186">
        <f t="shared" ref="DR9:DR19" si="178">(((H9+L9+Q9+W9+AC9+AI9+AO9+AU9+BA9+BG9+BM9+BS9+BY9+CE9+CK9+CQ9+CW9+DC9+DI9+DO9)/G9)/$J$20)/I9</f>
        <v>0.82888347101604398</v>
      </c>
      <c r="DS9" s="187">
        <f t="shared" ref="DS9:DS19" si="179">DQ$20-DR9</f>
        <v>-0.15264464549353296</v>
      </c>
      <c r="DT9" s="188">
        <f t="shared" ref="DT9:DT19" si="180">IF(DS9&gt;0,$G9*$I9*(($H$20+$L$20+$Q$20+$W$20+$AC$20+$AI$20+$AO$20+$AU$20+$BA$20+$BG$20+$BM$20+$BS$20+$BY$20+$CE$20+$CK$20+$CQ$20+$CW$20+$DC$20+$DI$20+$DO$20)/$G$20)*DS9,0)</f>
        <v>0</v>
      </c>
      <c r="DU9" s="191">
        <f t="shared" ref="DU9:DU19" si="181">IF((DP$20-DT$20)&gt;0,DT9,DP$20*DT9/DT$20)</f>
        <v>0</v>
      </c>
      <c r="DV9" s="42" t="s">
        <v>8</v>
      </c>
      <c r="DW9" s="180" t="s">
        <v>8</v>
      </c>
      <c r="DX9" s="192">
        <f t="shared" ref="DX9:DX19" si="182">((($H9+$L9+$Q9+$W9+$AC9+$AI9+$AO9+$AU9+$BA9+$BG9+$BM9+$BS9+$BY9+$CE9+$CK9+$CQ9+$CW9+$DC9+$DI9+$DO9+$DU9)/$G9)/$J$20)/$I9</f>
        <v>0.82888347101604398</v>
      </c>
      <c r="DY9" s="181">
        <f t="shared" ref="DY9:DY19" si="183">DW$20-DX9</f>
        <v>-0.15264464549353296</v>
      </c>
      <c r="DZ9" s="193">
        <f t="shared" ref="DZ9:DZ19" si="184">IF(DY9&gt;0,$G9*$I9*(($H$20+$L$20+$Q$20+$W$20+$AC$20+$AI$20+$AO$20+$AU$20+$BA$20+$BG$20+$BM$20+$BS$20+$BY$20+$CE$20+$CK$20+$CQ$20+$CW$20+$DC$20+$DI$20+$DO$20+$DU$20)/$G$20)*DY9,0)</f>
        <v>0</v>
      </c>
      <c r="EA9" s="183">
        <f t="shared" ref="EA9:EA19" si="185">IF((DV$20-DZ$20)&gt;0,DZ9,DV$20*DZ9/DZ$20)</f>
        <v>0</v>
      </c>
      <c r="EB9" s="42" t="s">
        <v>8</v>
      </c>
      <c r="EC9" s="180" t="s">
        <v>8</v>
      </c>
      <c r="ED9" s="192">
        <f t="shared" ref="ED9:ED19" si="186">((($H9+$L9+$Q9+$W9+$AC9+$AI9+$AO9+$AU9+$BA9+$BG9+$BM9+$BS9+$BY9+$CE9+$CK9+$CQ9+$CW9+$DC9+$DI9+$DO9+$DU9+$EA9)/$G9)/$J$20)/$I9</f>
        <v>0.82888347101604398</v>
      </c>
      <c r="EE9" s="181">
        <f t="shared" ref="EE9:EE19" si="187">EC$20-ED9</f>
        <v>-0.15264464549353296</v>
      </c>
      <c r="EF9" s="193">
        <f t="shared" ref="EF9:EF19" si="188">IF(EE9&gt;0,$G9*$I9*(($H$20+$L$20+$Q$20+$W$20+$AC$20+$AI$20+$AO$20+$AU$20+$BA$20+$BG$20+$BM$20+$BS$20+$BY$20+$CE$20+$CK$20+$CQ$20+$CW$20+$DC$20+$DI$20+$DO$20+$DU$20+$EA$20)/$G$20)*EE9,0)</f>
        <v>0</v>
      </c>
      <c r="EG9" s="183">
        <f t="shared" ref="EG9:EG19" si="189">IF((EB$20-EF$20)&gt;0,EF9,EB$20*EF9/EF$20)</f>
        <v>0</v>
      </c>
      <c r="EH9" s="42" t="s">
        <v>8</v>
      </c>
      <c r="EI9" s="180" t="s">
        <v>8</v>
      </c>
      <c r="EJ9" s="192">
        <f t="shared" ref="EJ9:EJ19" si="190">((($H9+$L9+$Q9+$W9+$AC9+$AI9+$AO9+$AU9+$BA9+$BG9+$BM9+$BS9+$BY9+$CE9+$CK9+$CQ9+$CW9+$DC9+$DI9+$DO9+$DU9+$EA9+$EG9)/$G9)/$J$20)/$I9</f>
        <v>0.82888347101604398</v>
      </c>
      <c r="EK9" s="181">
        <f t="shared" ref="EK9:EK19" si="191">EI$20-EJ9</f>
        <v>-0.15264464549353296</v>
      </c>
      <c r="EL9" s="193">
        <f t="shared" ref="EL9:EL19" si="192">IF(EK9&gt;0,$G9*$I9*(($H$20+$L$20+$Q$20+$W$20+$AC$20+$AI$20+$AO$20+$AU$20+$BA$20+$BG$20+$BM$20+$BS$20+$BY$20+$CE$20+$CK$20+$CQ$20+$CW$20+$DC$20+$DI$20+$DO$20+$DU$20+$EA$20+$EG$20)/$G$20)*EK9,0)</f>
        <v>0</v>
      </c>
      <c r="EM9" s="183">
        <f t="shared" ref="EM9:EM19" si="193">IF((EH$20-EL$20)&gt;0,EL9,EH$20*EL9/EL$20)</f>
        <v>0</v>
      </c>
      <c r="EN9" s="190" t="s">
        <v>8</v>
      </c>
      <c r="EO9" s="185" t="s">
        <v>8</v>
      </c>
      <c r="EP9" s="194">
        <f t="shared" ref="EP9:EP19" si="194">((($H9+$L9+$Q9+$W9+$AC9+$AI9+$AO9+$AU9+$BA9+$BG9+$BM9+$BS9+$BY9+$CE9+$CK9+$CQ9+$CW9+$DC9+$DI9+$DO9+$DU9+$EA9+$EG9+$EM9)/$G9)/$J$20)/$I9</f>
        <v>0.82888347101604398</v>
      </c>
      <c r="EQ9" s="187">
        <f t="shared" ref="EQ9:EQ19" si="195">EO$20-EP9</f>
        <v>-0.15264464549353296</v>
      </c>
      <c r="ER9" s="188">
        <f t="shared" ref="ER9:ER19" si="196">IF(EQ9&gt;0,$G9*$I9*(($H$20+$L$20+$Q$20+$W$20+$AC$20+$AI$20+$AO$20+$AU$20+$BA$20+$BG$20+$BM$20+$BS$20+$BY$20+$CE$20+$CK$20+$CQ$20+$CW$20+$DC$20+$DI$20+$DO$20+$DU$20+$EA$20+$EG$20+$EM$20)/$G$20)*EQ9,0)</f>
        <v>0</v>
      </c>
      <c r="ES9" s="189">
        <f t="shared" ref="ES9:ES19" si="197">IF((EN$20-ER$20)&gt;0,ER9,EN$20*ER9/ER$20)</f>
        <v>0</v>
      </c>
      <c r="ET9" s="42" t="s">
        <v>8</v>
      </c>
      <c r="EU9" s="180" t="s">
        <v>8</v>
      </c>
      <c r="EV9" s="192">
        <f t="shared" ref="EV9:EV19" si="198">((($H9+$L9+$Q9+$W9+$AC9+$AI9+$AO9+$AU9+$BA9+$BG9+$BM9+$BS9+$BY9+$CE9+$CK9+$CQ9+$CW9+$DC9+$DI9+$DO9+$DU9+$EA9+$EG9+$EM9+$ES9)/$G9)/$J$20)/$I9</f>
        <v>0.82888347101604398</v>
      </c>
      <c r="EW9" s="181">
        <f t="shared" ref="EW9:EW19" si="199">EU$20-EV9</f>
        <v>-0.15264464549353296</v>
      </c>
      <c r="EX9" s="193">
        <f t="shared" ref="EX9:EX19" si="200">IF(EW9&gt;0,$G9*$I9*(($H$20+$L$20+$Q$20+$W$20+$AC$20+$AI$20+$AO$20+$AU$20+$BA$20+$BG$20+$BM$20+$BS$20+$BY$20+$CE$20+$CK$20+$CQ$20+$CW$20+$DC$20+$DI$20+$DO$20+$DU$20+$EA$20+$EG$20+$EM$20+$ES$20)/$G$20)*EW9,0)</f>
        <v>0</v>
      </c>
      <c r="EY9" s="183">
        <f t="shared" ref="EY9:EY19" si="201">IF((ET$20-EX$20)&gt;0,EX9,ET$20*EX9/EX$20)</f>
        <v>0</v>
      </c>
      <c r="EZ9" s="42" t="s">
        <v>8</v>
      </c>
      <c r="FA9" s="180" t="s">
        <v>8</v>
      </c>
      <c r="FB9" s="192">
        <f t="shared" ref="FB9:FB19" si="202">((($H9+$L9+$Q9+$W9+$AC9+$AI9+$AO9+$AU9+$BA9+$BG9+$BM9+$BS9+$BY9+$CE9+$CK9+$CQ9+$CW9+$DC9+$DI9+$DO9+$DU9+$EA9+$EG9+$EM9+$ES9+$EY9)/$G9)/$J$20)/$I9</f>
        <v>0.82888347101604398</v>
      </c>
      <c r="FC9" s="181">
        <f t="shared" ref="FC9:FC19" si="203">FA$20-FB9</f>
        <v>-0.15264464549353296</v>
      </c>
      <c r="FD9" s="193">
        <f t="shared" ref="FD9:FD19" si="204">IF(FC9&gt;0,$G9*$I9*(($H$20+$L$20+$Q$20+$W$20+$AC$20+$AI$20+$AO$20+$AU$20+$BA$20+$BG$20+$BM$20+$BS$20+$BY$20+$CE$20+$CK$20+$CQ$20+$CW$20+$DC$20+$DI$20+$DO$20+$DU$20+$EA$20+$EG$20+$EM$20+$ES$20+$EY$20)/$G$20)*FC9,0)</f>
        <v>0</v>
      </c>
      <c r="FE9" s="183">
        <f t="shared" ref="FE9:FE19" si="205">IF((EZ$20-FD$20)&gt;0,FD9,EZ$20*FD9/FD$20)</f>
        <v>0</v>
      </c>
      <c r="FF9" s="42" t="s">
        <v>8</v>
      </c>
      <c r="FG9" s="180" t="s">
        <v>8</v>
      </c>
      <c r="FH9" s="192">
        <f t="shared" ref="FH9:FH19" si="206">((($H9+$L9+$Q9+$W9+$AC9+$AI9+$AO9+$AU9+$BA9+$BG9+$BM9+$BS9+$BY9+$CE9+$CK9+$CQ9+$CW9+$DC9+$DI9+$DO9+$DU9+$EA9+$EG9+$EM9+$ES9+$EY9+$FE9)/$G9)/$J$20)/$I9</f>
        <v>0.82888347101604398</v>
      </c>
      <c r="FI9" s="181">
        <f t="shared" ref="FI9:FI19" si="207">FG$20-FH9</f>
        <v>-0.15264464549353296</v>
      </c>
      <c r="FJ9" s="193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0</v>
      </c>
      <c r="FK9" s="183">
        <f t="shared" ref="FK9:FK19" si="209">IF((FF$20-FJ$20)&gt;0,FJ9,FF$20*FJ9/FJ$20)</f>
        <v>0</v>
      </c>
      <c r="FL9" s="42" t="s">
        <v>8</v>
      </c>
      <c r="FM9" s="180" t="s">
        <v>8</v>
      </c>
      <c r="FN9" s="192">
        <f t="shared" ref="FN9:FN19" si="210">((($H9+$L9+$Q9+$W9+$AC9+$AI9+$AO9+$AU9+$BA9+$BG9+$BM9+$BS9+$BY9+$CE9+$CK9+$CQ9+$CW9+$DC9+$DI9+$DO9+$DU9+$EA9+$EG9+$EM9+$ES9+$EY9+$FE9+$FK9)/$G9)/$J$20)/$I9</f>
        <v>0.82888347101604398</v>
      </c>
      <c r="FO9" s="181">
        <f t="shared" ref="FO9:FO19" si="211">FM$20-FN9</f>
        <v>-0.15264464549353296</v>
      </c>
      <c r="FP9" s="193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0</v>
      </c>
      <c r="FQ9" s="183">
        <f t="shared" ref="FQ9:FQ19" si="213">IF((FL$20-FP$20)&gt;0,FP9,FL$20*FP9/FP$20)</f>
        <v>0</v>
      </c>
      <c r="FR9" s="42" t="s">
        <v>8</v>
      </c>
      <c r="FS9" s="180" t="s">
        <v>8</v>
      </c>
      <c r="FT9" s="192">
        <f t="shared" ref="FT9:FT19" si="214">((($H9+$L9+$Q9+$W9+$AC9+$AI9+$AO9+$AU9+$BA9+$BG9+$BM9+$BS9+$BY9+$CE9+$CK9+$CQ9+$CW9+$DC9+$DI9+$DO9+$DU9+$EA9+$EG9+$EM9+$ES9+$EY9+$FE9+$FK9+$FQ9)/$G9)/$J$20)/$I9</f>
        <v>0.82888347101604398</v>
      </c>
      <c r="FU9" s="181">
        <f t="shared" ref="FU9:FU19" si="215">FS$20-FT9</f>
        <v>-0.15264464549353296</v>
      </c>
      <c r="FV9" s="193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0</v>
      </c>
      <c r="FW9" s="183">
        <f t="shared" ref="FW9:FW19" si="217">IF((FR$20-FV$20)&gt;0,FV9,FR$20*FV9/FV$20)</f>
        <v>0</v>
      </c>
      <c r="FX9" s="42" t="s">
        <v>8</v>
      </c>
      <c r="FY9" s="180" t="s">
        <v>8</v>
      </c>
      <c r="FZ9" s="192">
        <f t="shared" ref="FZ9:FZ19" si="218">((($H9+$L9+$Q9+$W9+$AC9+$AI9+$AO9+$AU9+$BA9+$BG9+$BM9+$BS9+$BY9+$CE9+$CK9+$CQ9+$CW9+$DC9+$DI9+$DO9+$DU9+$EA9+$EG9+$EM9+$ES9+$EY9+$FE9+$FK9+$FQ9+$FW9)/$G9)/$J$20)/$I9</f>
        <v>0.82888347101604398</v>
      </c>
      <c r="GA9" s="181">
        <f t="shared" ref="GA9:GA19" si="219">FY$20-FZ9</f>
        <v>-0.15264464549353296</v>
      </c>
      <c r="GB9" s="193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0</v>
      </c>
      <c r="GC9" s="183">
        <f t="shared" ref="GC9:GC19" si="221">IF((FX$20-GB$20)&gt;0,GB9,FX$20*GB9/GB$20)</f>
        <v>0</v>
      </c>
      <c r="GD9" s="42" t="s">
        <v>8</v>
      </c>
      <c r="GE9" s="180" t="s">
        <v>8</v>
      </c>
      <c r="GF9" s="192">
        <f t="shared" ref="GF9:GF19" si="222">((($H9+$L9+$Q9+$W9+$AC9+$AI9+$AO9+$AU9+$BA9+$BG9+$BM9+$BS9+$BY9+$CE9+$CK9+$CQ9+$CW9+$DC9+$DI9+$DO9+$DU9+$EA9+$EG9+$EM9+$ES9+$EY9+$FE9+$FK9+$FQ9+$FW9+$GC9)/$G9)/$J$20)/$I9</f>
        <v>0.82888347101604398</v>
      </c>
      <c r="GG9" s="181">
        <f t="shared" ref="GG9:GG19" si="223">GE$20-GF9</f>
        <v>-0.15264464549353296</v>
      </c>
      <c r="GH9" s="193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0</v>
      </c>
      <c r="GI9" s="195">
        <f t="shared" ref="GI9:GI19" si="225">IF((GD$20-GH$20)&gt;0,GH9,GD$20*GH9/GH$20)</f>
        <v>0</v>
      </c>
      <c r="GJ9" s="166">
        <f>Q9+W9+AC9+AI9+AO9+AU9+BA9+BG9+BM9+BS9+BY9+CE9+CK9+CQ9+CW9+DC9+DI9+DO9+DU9+EA9+EG9+EM9+ES9+EY9+FE9+FK9+FQ9+FW9+GC9+GI9</f>
        <v>0</v>
      </c>
      <c r="GK9" s="207">
        <f t="shared" ref="GK9:GK20" si="226">L9+GJ9</f>
        <v>923183.57467118639</v>
      </c>
      <c r="GL9" s="157">
        <f t="shared" ref="GL9:GL19" si="227">K9+GK9/($H$20/$G$20)/G9/I9</f>
        <v>0.82888347101604409</v>
      </c>
    </row>
    <row r="10" spans="1:194" s="27" customFormat="1" ht="18.75">
      <c r="A10" s="170" t="s">
        <v>179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10">
        <f>'Исходные данные'!C12</f>
        <v>2299</v>
      </c>
      <c r="H10" s="33">
        <f>'Исходные данные'!D12</f>
        <v>1979091</v>
      </c>
      <c r="I10" s="34">
        <f>'Расчет КРП'!G8</f>
        <v>2.7941176470588234</v>
      </c>
      <c r="J10" s="116" t="s">
        <v>8</v>
      </c>
      <c r="K10" s="120">
        <f t="shared" si="104"/>
        <v>0.18288342108396333</v>
      </c>
      <c r="L10" s="75">
        <f t="shared" si="105"/>
        <v>1943588.8627921774</v>
      </c>
      <c r="M10" s="72">
        <f t="shared" si="106"/>
        <v>0.36248616820783142</v>
      </c>
      <c r="N10" s="32" t="s">
        <v>8</v>
      </c>
      <c r="O10" s="35">
        <f t="shared" si="107"/>
        <v>0.20311098368394731</v>
      </c>
      <c r="P10" s="36">
        <f t="shared" si="108"/>
        <v>3301003.3116516857</v>
      </c>
      <c r="Q10" s="77">
        <f t="shared" si="109"/>
        <v>3111128.7843136247</v>
      </c>
      <c r="R10" s="156" t="s">
        <v>8</v>
      </c>
      <c r="S10" s="32" t="s">
        <v>8</v>
      </c>
      <c r="T10" s="37">
        <f t="shared" si="110"/>
        <v>0.64997869659994045</v>
      </c>
      <c r="U10" s="35">
        <f t="shared" si="111"/>
        <v>2.6260128922570569E-2</v>
      </c>
      <c r="V10" s="52">
        <f t="shared" si="112"/>
        <v>471819.57122928067</v>
      </c>
      <c r="W10" s="77">
        <f t="shared" si="113"/>
        <v>0</v>
      </c>
      <c r="X10" s="74" t="s">
        <v>8</v>
      </c>
      <c r="Y10" s="32" t="s">
        <v>8</v>
      </c>
      <c r="Z10" s="37">
        <f t="shared" si="114"/>
        <v>0.64997869659994045</v>
      </c>
      <c r="AA10" s="35">
        <f t="shared" si="115"/>
        <v>2.6260128922570569E-2</v>
      </c>
      <c r="AB10" s="52">
        <f t="shared" si="116"/>
        <v>471819.57122928067</v>
      </c>
      <c r="AC10" s="77">
        <f t="shared" si="117"/>
        <v>0</v>
      </c>
      <c r="AD10" s="74" t="s">
        <v>8</v>
      </c>
      <c r="AE10" s="32" t="s">
        <v>8</v>
      </c>
      <c r="AF10" s="37">
        <f t="shared" si="118"/>
        <v>0.64997869659994045</v>
      </c>
      <c r="AG10" s="35">
        <f t="shared" si="119"/>
        <v>2.6260128922570569E-2</v>
      </c>
      <c r="AH10" s="52">
        <f t="shared" si="120"/>
        <v>471819.57122928067</v>
      </c>
      <c r="AI10" s="77">
        <f t="shared" si="121"/>
        <v>0</v>
      </c>
      <c r="AJ10" s="74" t="s">
        <v>8</v>
      </c>
      <c r="AK10" s="32" t="s">
        <v>8</v>
      </c>
      <c r="AL10" s="37">
        <f t="shared" si="122"/>
        <v>0.64997869659994045</v>
      </c>
      <c r="AM10" s="35">
        <f t="shared" si="123"/>
        <v>2.6260128922570569E-2</v>
      </c>
      <c r="AN10" s="52">
        <f t="shared" si="124"/>
        <v>471819.57122928067</v>
      </c>
      <c r="AO10" s="77">
        <f t="shared" si="125"/>
        <v>0</v>
      </c>
      <c r="AP10" s="74" t="s">
        <v>8</v>
      </c>
      <c r="AQ10" s="32" t="s">
        <v>8</v>
      </c>
      <c r="AR10" s="37">
        <f t="shared" si="126"/>
        <v>0.64997869659994045</v>
      </c>
      <c r="AS10" s="35">
        <f t="shared" si="127"/>
        <v>2.6260128922570569E-2</v>
      </c>
      <c r="AT10" s="52">
        <f t="shared" si="128"/>
        <v>471819.57122928067</v>
      </c>
      <c r="AU10" s="77">
        <f t="shared" si="129"/>
        <v>0</v>
      </c>
      <c r="AV10" s="74" t="s">
        <v>8</v>
      </c>
      <c r="AW10" s="32" t="s">
        <v>8</v>
      </c>
      <c r="AX10" s="37">
        <f t="shared" si="130"/>
        <v>0.64997869659994045</v>
      </c>
      <c r="AY10" s="35">
        <f t="shared" si="131"/>
        <v>2.6260128922570569E-2</v>
      </c>
      <c r="AZ10" s="52">
        <f t="shared" si="132"/>
        <v>471819.57122928067</v>
      </c>
      <c r="BA10" s="77">
        <f t="shared" si="133"/>
        <v>0</v>
      </c>
      <c r="BB10" s="74" t="s">
        <v>8</v>
      </c>
      <c r="BC10" s="32" t="s">
        <v>8</v>
      </c>
      <c r="BD10" s="37">
        <f t="shared" si="134"/>
        <v>0.64997869659994045</v>
      </c>
      <c r="BE10" s="35">
        <f t="shared" si="135"/>
        <v>2.6260128922570569E-2</v>
      </c>
      <c r="BF10" s="52">
        <f t="shared" si="136"/>
        <v>471819.57122928067</v>
      </c>
      <c r="BG10" s="77">
        <f t="shared" si="137"/>
        <v>0</v>
      </c>
      <c r="BH10" s="74" t="s">
        <v>8</v>
      </c>
      <c r="BI10" s="32" t="s">
        <v>8</v>
      </c>
      <c r="BJ10" s="37">
        <f t="shared" si="138"/>
        <v>0.64997869659994045</v>
      </c>
      <c r="BK10" s="35">
        <f t="shared" si="139"/>
        <v>2.6260128922570569E-2</v>
      </c>
      <c r="BL10" s="52">
        <f t="shared" si="140"/>
        <v>471819.57122928067</v>
      </c>
      <c r="BM10" s="77">
        <f t="shared" si="141"/>
        <v>0</v>
      </c>
      <c r="BN10" s="74" t="s">
        <v>8</v>
      </c>
      <c r="BO10" s="32" t="s">
        <v>8</v>
      </c>
      <c r="BP10" s="37">
        <f t="shared" si="142"/>
        <v>0.64997869659994045</v>
      </c>
      <c r="BQ10" s="35">
        <f t="shared" si="143"/>
        <v>2.6260128922570569E-2</v>
      </c>
      <c r="BR10" s="52">
        <f t="shared" si="144"/>
        <v>471819.57122928067</v>
      </c>
      <c r="BS10" s="132">
        <f t="shared" si="145"/>
        <v>0</v>
      </c>
      <c r="BT10" s="74" t="s">
        <v>8</v>
      </c>
      <c r="BU10" s="32" t="s">
        <v>8</v>
      </c>
      <c r="BV10" s="37">
        <f t="shared" si="146"/>
        <v>0.64997869659994045</v>
      </c>
      <c r="BW10" s="35">
        <f t="shared" si="147"/>
        <v>2.6260128922570569E-2</v>
      </c>
      <c r="BX10" s="52">
        <f t="shared" si="148"/>
        <v>471819.57122928067</v>
      </c>
      <c r="BY10" s="132">
        <f t="shared" si="149"/>
        <v>0</v>
      </c>
      <c r="BZ10" s="74" t="s">
        <v>8</v>
      </c>
      <c r="CA10" s="32" t="s">
        <v>8</v>
      </c>
      <c r="CB10" s="37">
        <f t="shared" si="150"/>
        <v>0.64997869659994045</v>
      </c>
      <c r="CC10" s="35">
        <f t="shared" si="151"/>
        <v>2.6260128922570569E-2</v>
      </c>
      <c r="CD10" s="52">
        <f t="shared" si="152"/>
        <v>471819.57122928067</v>
      </c>
      <c r="CE10" s="132">
        <f t="shared" si="153"/>
        <v>0</v>
      </c>
      <c r="CF10" s="74" t="s">
        <v>8</v>
      </c>
      <c r="CG10" s="32" t="s">
        <v>8</v>
      </c>
      <c r="CH10" s="37">
        <f t="shared" si="154"/>
        <v>0.64997869659994045</v>
      </c>
      <c r="CI10" s="35">
        <f t="shared" si="155"/>
        <v>2.6260128922570569E-2</v>
      </c>
      <c r="CJ10" s="52">
        <f t="shared" si="156"/>
        <v>471819.57122928067</v>
      </c>
      <c r="CK10" s="132">
        <f t="shared" si="157"/>
        <v>0</v>
      </c>
      <c r="CL10" s="74" t="s">
        <v>8</v>
      </c>
      <c r="CM10" s="32" t="s">
        <v>8</v>
      </c>
      <c r="CN10" s="37">
        <f t="shared" si="158"/>
        <v>0.64997869659994045</v>
      </c>
      <c r="CO10" s="35">
        <f t="shared" si="159"/>
        <v>2.6260128922570569E-2</v>
      </c>
      <c r="CP10" s="52">
        <f t="shared" si="160"/>
        <v>471819.57122928067</v>
      </c>
      <c r="CQ10" s="132">
        <f t="shared" si="161"/>
        <v>0</v>
      </c>
      <c r="CR10" s="74" t="s">
        <v>8</v>
      </c>
      <c r="CS10" s="32" t="s">
        <v>8</v>
      </c>
      <c r="CT10" s="37">
        <f t="shared" si="162"/>
        <v>0.64997869659994045</v>
      </c>
      <c r="CU10" s="35">
        <f t="shared" si="163"/>
        <v>2.6260128922570569E-2</v>
      </c>
      <c r="CV10" s="52">
        <f t="shared" si="164"/>
        <v>471819.57122928067</v>
      </c>
      <c r="CW10" s="132">
        <f t="shared" si="165"/>
        <v>0</v>
      </c>
      <c r="CX10" s="74" t="s">
        <v>8</v>
      </c>
      <c r="CY10" s="32" t="s">
        <v>8</v>
      </c>
      <c r="CZ10" s="37">
        <f t="shared" si="166"/>
        <v>0.64997869659994045</v>
      </c>
      <c r="DA10" s="35">
        <f t="shared" si="167"/>
        <v>2.6260128922570569E-2</v>
      </c>
      <c r="DB10" s="52">
        <f t="shared" si="168"/>
        <v>471819.57122928067</v>
      </c>
      <c r="DC10" s="132">
        <f t="shared" si="169"/>
        <v>0</v>
      </c>
      <c r="DD10" s="74" t="s">
        <v>8</v>
      </c>
      <c r="DE10" s="32" t="s">
        <v>8</v>
      </c>
      <c r="DF10" s="37">
        <f t="shared" si="170"/>
        <v>0.64997869659994045</v>
      </c>
      <c r="DG10" s="35">
        <f t="shared" si="171"/>
        <v>2.6260128922570569E-2</v>
      </c>
      <c r="DH10" s="52">
        <f t="shared" si="172"/>
        <v>471819.57122928067</v>
      </c>
      <c r="DI10" s="132">
        <f t="shared" si="173"/>
        <v>0</v>
      </c>
      <c r="DJ10" s="74" t="s">
        <v>8</v>
      </c>
      <c r="DK10" s="32" t="s">
        <v>8</v>
      </c>
      <c r="DL10" s="37">
        <f t="shared" si="174"/>
        <v>0.64997869659994045</v>
      </c>
      <c r="DM10" s="35">
        <f t="shared" si="175"/>
        <v>2.6260128922570569E-2</v>
      </c>
      <c r="DN10" s="52">
        <f t="shared" si="176"/>
        <v>471819.57122928067</v>
      </c>
      <c r="DO10" s="132">
        <f t="shared" si="177"/>
        <v>0</v>
      </c>
      <c r="DP10" s="74" t="s">
        <v>8</v>
      </c>
      <c r="DQ10" s="32" t="s">
        <v>8</v>
      </c>
      <c r="DR10" s="37">
        <f t="shared" si="178"/>
        <v>0.64997869659994045</v>
      </c>
      <c r="DS10" s="35">
        <f t="shared" si="179"/>
        <v>2.6260128922570569E-2</v>
      </c>
      <c r="DT10" s="52">
        <f t="shared" si="180"/>
        <v>471819.57122928067</v>
      </c>
      <c r="DU10" s="132">
        <f t="shared" si="181"/>
        <v>0</v>
      </c>
      <c r="DV10" s="74" t="s">
        <v>8</v>
      </c>
      <c r="DW10" s="32" t="s">
        <v>8</v>
      </c>
      <c r="DX10" s="37">
        <f t="shared" si="182"/>
        <v>0.64997869659994045</v>
      </c>
      <c r="DY10" s="35">
        <f t="shared" si="183"/>
        <v>2.6260128922570569E-2</v>
      </c>
      <c r="DZ10" s="36">
        <f t="shared" si="184"/>
        <v>471819.57122928067</v>
      </c>
      <c r="EA10" s="77">
        <f t="shared" si="185"/>
        <v>0</v>
      </c>
      <c r="EB10" s="74" t="s">
        <v>8</v>
      </c>
      <c r="EC10" s="32" t="s">
        <v>8</v>
      </c>
      <c r="ED10" s="37">
        <f t="shared" si="186"/>
        <v>0.64997869659994045</v>
      </c>
      <c r="EE10" s="35">
        <f t="shared" si="187"/>
        <v>2.6260128922570569E-2</v>
      </c>
      <c r="EF10" s="36">
        <f t="shared" si="188"/>
        <v>471819.57122928067</v>
      </c>
      <c r="EG10" s="77">
        <f t="shared" si="189"/>
        <v>0</v>
      </c>
      <c r="EH10" s="74" t="s">
        <v>8</v>
      </c>
      <c r="EI10" s="32" t="s">
        <v>8</v>
      </c>
      <c r="EJ10" s="37">
        <f t="shared" si="190"/>
        <v>0.64997869659994045</v>
      </c>
      <c r="EK10" s="35">
        <f t="shared" si="191"/>
        <v>2.6260128922570569E-2</v>
      </c>
      <c r="EL10" s="36">
        <f t="shared" si="192"/>
        <v>471819.57122928067</v>
      </c>
      <c r="EM10" s="77">
        <f t="shared" si="193"/>
        <v>0</v>
      </c>
      <c r="EN10" s="74" t="s">
        <v>8</v>
      </c>
      <c r="EO10" s="32" t="s">
        <v>8</v>
      </c>
      <c r="EP10" s="37">
        <f t="shared" si="194"/>
        <v>0.64997869659994045</v>
      </c>
      <c r="EQ10" s="35">
        <f t="shared" si="195"/>
        <v>2.6260128922570569E-2</v>
      </c>
      <c r="ER10" s="36">
        <f t="shared" si="196"/>
        <v>471819.57122928067</v>
      </c>
      <c r="ES10" s="77">
        <f t="shared" si="197"/>
        <v>0</v>
      </c>
      <c r="ET10" s="74" t="s">
        <v>8</v>
      </c>
      <c r="EU10" s="32" t="s">
        <v>8</v>
      </c>
      <c r="EV10" s="37">
        <f t="shared" si="198"/>
        <v>0.64997869659994045</v>
      </c>
      <c r="EW10" s="35">
        <f t="shared" si="199"/>
        <v>2.6260128922570569E-2</v>
      </c>
      <c r="EX10" s="36">
        <f t="shared" si="200"/>
        <v>471819.57122928067</v>
      </c>
      <c r="EY10" s="77">
        <f t="shared" si="201"/>
        <v>0</v>
      </c>
      <c r="EZ10" s="74" t="s">
        <v>8</v>
      </c>
      <c r="FA10" s="32" t="s">
        <v>8</v>
      </c>
      <c r="FB10" s="37">
        <f t="shared" si="202"/>
        <v>0.64997869659994045</v>
      </c>
      <c r="FC10" s="35">
        <f t="shared" si="203"/>
        <v>2.6260128922570569E-2</v>
      </c>
      <c r="FD10" s="36">
        <f t="shared" si="204"/>
        <v>471819.57122928067</v>
      </c>
      <c r="FE10" s="77">
        <f t="shared" si="205"/>
        <v>0</v>
      </c>
      <c r="FF10" s="74" t="s">
        <v>8</v>
      </c>
      <c r="FG10" s="32" t="s">
        <v>8</v>
      </c>
      <c r="FH10" s="37">
        <f t="shared" si="206"/>
        <v>0.64997869659994045</v>
      </c>
      <c r="FI10" s="35">
        <f t="shared" si="207"/>
        <v>2.6260128922570569E-2</v>
      </c>
      <c r="FJ10" s="36">
        <f t="shared" si="208"/>
        <v>471819.57122928067</v>
      </c>
      <c r="FK10" s="77">
        <f t="shared" si="209"/>
        <v>0</v>
      </c>
      <c r="FL10" s="74" t="s">
        <v>8</v>
      </c>
      <c r="FM10" s="32" t="s">
        <v>8</v>
      </c>
      <c r="FN10" s="37">
        <f t="shared" si="210"/>
        <v>0.64997869659994045</v>
      </c>
      <c r="FO10" s="35">
        <f t="shared" si="211"/>
        <v>2.6260128922570569E-2</v>
      </c>
      <c r="FP10" s="36">
        <f t="shared" si="212"/>
        <v>471819.57122928067</v>
      </c>
      <c r="FQ10" s="77">
        <f t="shared" si="213"/>
        <v>0</v>
      </c>
      <c r="FR10" s="74" t="s">
        <v>8</v>
      </c>
      <c r="FS10" s="32" t="s">
        <v>8</v>
      </c>
      <c r="FT10" s="37">
        <f t="shared" si="214"/>
        <v>0.64997869659994045</v>
      </c>
      <c r="FU10" s="35">
        <f t="shared" si="215"/>
        <v>2.6260128922570569E-2</v>
      </c>
      <c r="FV10" s="36">
        <f t="shared" si="216"/>
        <v>471819.57122928067</v>
      </c>
      <c r="FW10" s="77">
        <f t="shared" si="217"/>
        <v>0</v>
      </c>
      <c r="FX10" s="74" t="s">
        <v>8</v>
      </c>
      <c r="FY10" s="32" t="s">
        <v>8</v>
      </c>
      <c r="FZ10" s="37">
        <f t="shared" si="218"/>
        <v>0.64997869659994045</v>
      </c>
      <c r="GA10" s="35">
        <f t="shared" si="219"/>
        <v>2.6260128922570569E-2</v>
      </c>
      <c r="GB10" s="36">
        <f t="shared" si="220"/>
        <v>471819.57122928067</v>
      </c>
      <c r="GC10" s="77">
        <f t="shared" si="221"/>
        <v>0</v>
      </c>
      <c r="GD10" s="74" t="s">
        <v>8</v>
      </c>
      <c r="GE10" s="32" t="s">
        <v>8</v>
      </c>
      <c r="GF10" s="37">
        <f t="shared" si="222"/>
        <v>0.64997869659994045</v>
      </c>
      <c r="GG10" s="35">
        <f t="shared" si="223"/>
        <v>2.6260128922570569E-2</v>
      </c>
      <c r="GH10" s="36">
        <f t="shared" si="224"/>
        <v>471819.57122928067</v>
      </c>
      <c r="GI10" s="132">
        <f t="shared" si="225"/>
        <v>0</v>
      </c>
      <c r="GJ10" s="158">
        <f t="shared" ref="GJ10:GJ19" si="228">Q10+W10+AC10+AI10+AO10+AU10+BA10+BG10+BM10+BS10+BY10+CE10+CK10+CQ10+CW10+DC10+DI10+DO10+DU10+EA10+EG10+EM10+ES10+EY10+FE10+FK10+FQ10+FW10+GC10+GI10</f>
        <v>3111128.7843136247</v>
      </c>
      <c r="GK10" s="102">
        <f t="shared" si="226"/>
        <v>5054717.6471058019</v>
      </c>
      <c r="GL10" s="83">
        <f t="shared" si="227"/>
        <v>0.64997869659994056</v>
      </c>
    </row>
    <row r="11" spans="1:194" s="27" customFormat="1" ht="37.5">
      <c r="A11" s="170" t="s">
        <v>180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10">
        <f>'Исходные данные'!C13</f>
        <v>492</v>
      </c>
      <c r="H11" s="33">
        <f>'Исходные данные'!D13</f>
        <v>720091</v>
      </c>
      <c r="I11" s="34">
        <f>'Расчет КРП'!G9</f>
        <v>3.4705882352941178</v>
      </c>
      <c r="J11" s="116" t="s">
        <v>8</v>
      </c>
      <c r="K11" s="120">
        <f t="shared" si="104"/>
        <v>0.25032914890731239</v>
      </c>
      <c r="L11" s="75">
        <f t="shared" si="105"/>
        <v>415939.85232438071</v>
      </c>
      <c r="M11" s="72">
        <f t="shared" si="106"/>
        <v>0.39492458091381638</v>
      </c>
      <c r="N11" s="32" t="s">
        <v>8</v>
      </c>
      <c r="O11" s="35">
        <f t="shared" si="107"/>
        <v>0.17067257097796235</v>
      </c>
      <c r="P11" s="36">
        <f t="shared" si="108"/>
        <v>737328.14971061505</v>
      </c>
      <c r="Q11" s="77">
        <f t="shared" si="109"/>
        <v>694916.85208325833</v>
      </c>
      <c r="R11" s="156" t="s">
        <v>8</v>
      </c>
      <c r="S11" s="32" t="s">
        <v>8</v>
      </c>
      <c r="T11" s="37">
        <f t="shared" si="110"/>
        <v>0.63650230392847817</v>
      </c>
      <c r="U11" s="35">
        <f t="shared" si="111"/>
        <v>3.9736521594032848E-2</v>
      </c>
      <c r="V11" s="52">
        <f t="shared" si="112"/>
        <v>189781.32696233795</v>
      </c>
      <c r="W11" s="77">
        <f t="shared" si="113"/>
        <v>0</v>
      </c>
      <c r="X11" s="74" t="s">
        <v>8</v>
      </c>
      <c r="Y11" s="32" t="s">
        <v>8</v>
      </c>
      <c r="Z11" s="37">
        <f t="shared" si="114"/>
        <v>0.63650230392847817</v>
      </c>
      <c r="AA11" s="35">
        <f t="shared" si="115"/>
        <v>3.9736521594032848E-2</v>
      </c>
      <c r="AB11" s="52">
        <f t="shared" si="116"/>
        <v>189781.32696233795</v>
      </c>
      <c r="AC11" s="77">
        <f t="shared" si="117"/>
        <v>0</v>
      </c>
      <c r="AD11" s="74" t="s">
        <v>8</v>
      </c>
      <c r="AE11" s="32" t="s">
        <v>8</v>
      </c>
      <c r="AF11" s="37">
        <f t="shared" si="118"/>
        <v>0.63650230392847817</v>
      </c>
      <c r="AG11" s="35">
        <f t="shared" si="119"/>
        <v>3.9736521594032848E-2</v>
      </c>
      <c r="AH11" s="52">
        <f t="shared" si="120"/>
        <v>189781.32696233795</v>
      </c>
      <c r="AI11" s="77">
        <f t="shared" si="121"/>
        <v>0</v>
      </c>
      <c r="AJ11" s="74" t="s">
        <v>8</v>
      </c>
      <c r="AK11" s="32" t="s">
        <v>8</v>
      </c>
      <c r="AL11" s="37">
        <f t="shared" si="122"/>
        <v>0.63650230392847817</v>
      </c>
      <c r="AM11" s="35">
        <f t="shared" si="123"/>
        <v>3.9736521594032848E-2</v>
      </c>
      <c r="AN11" s="52">
        <f t="shared" si="124"/>
        <v>189781.32696233795</v>
      </c>
      <c r="AO11" s="77">
        <f t="shared" si="125"/>
        <v>0</v>
      </c>
      <c r="AP11" s="74" t="s">
        <v>8</v>
      </c>
      <c r="AQ11" s="32" t="s">
        <v>8</v>
      </c>
      <c r="AR11" s="37">
        <f t="shared" si="126"/>
        <v>0.63650230392847817</v>
      </c>
      <c r="AS11" s="35">
        <f t="shared" si="127"/>
        <v>3.9736521594032848E-2</v>
      </c>
      <c r="AT11" s="52">
        <f t="shared" si="128"/>
        <v>189781.32696233795</v>
      </c>
      <c r="AU11" s="77">
        <f t="shared" si="129"/>
        <v>0</v>
      </c>
      <c r="AV11" s="74" t="s">
        <v>8</v>
      </c>
      <c r="AW11" s="32" t="s">
        <v>8</v>
      </c>
      <c r="AX11" s="37">
        <f t="shared" si="130"/>
        <v>0.63650230392847817</v>
      </c>
      <c r="AY11" s="35">
        <f t="shared" si="131"/>
        <v>3.9736521594032848E-2</v>
      </c>
      <c r="AZ11" s="52">
        <f t="shared" si="132"/>
        <v>189781.32696233795</v>
      </c>
      <c r="BA11" s="77">
        <f t="shared" si="133"/>
        <v>0</v>
      </c>
      <c r="BB11" s="74" t="s">
        <v>8</v>
      </c>
      <c r="BC11" s="32" t="s">
        <v>8</v>
      </c>
      <c r="BD11" s="37">
        <f t="shared" si="134"/>
        <v>0.63650230392847817</v>
      </c>
      <c r="BE11" s="35">
        <f t="shared" si="135"/>
        <v>3.9736521594032848E-2</v>
      </c>
      <c r="BF11" s="52">
        <f t="shared" si="136"/>
        <v>189781.32696233795</v>
      </c>
      <c r="BG11" s="77">
        <f t="shared" si="137"/>
        <v>0</v>
      </c>
      <c r="BH11" s="74" t="s">
        <v>8</v>
      </c>
      <c r="BI11" s="32" t="s">
        <v>8</v>
      </c>
      <c r="BJ11" s="37">
        <f t="shared" si="138"/>
        <v>0.63650230392847817</v>
      </c>
      <c r="BK11" s="35">
        <f t="shared" si="139"/>
        <v>3.9736521594032848E-2</v>
      </c>
      <c r="BL11" s="52">
        <f t="shared" si="140"/>
        <v>189781.32696233795</v>
      </c>
      <c r="BM11" s="77">
        <f t="shared" si="141"/>
        <v>0</v>
      </c>
      <c r="BN11" s="74" t="s">
        <v>8</v>
      </c>
      <c r="BO11" s="32" t="s">
        <v>8</v>
      </c>
      <c r="BP11" s="37">
        <f t="shared" si="142"/>
        <v>0.63650230392847817</v>
      </c>
      <c r="BQ11" s="35">
        <f t="shared" si="143"/>
        <v>3.9736521594032848E-2</v>
      </c>
      <c r="BR11" s="52">
        <f t="shared" si="144"/>
        <v>189781.32696233795</v>
      </c>
      <c r="BS11" s="132">
        <f t="shared" si="145"/>
        <v>0</v>
      </c>
      <c r="BT11" s="74" t="s">
        <v>8</v>
      </c>
      <c r="BU11" s="32" t="s">
        <v>8</v>
      </c>
      <c r="BV11" s="37">
        <f t="shared" si="146"/>
        <v>0.63650230392847817</v>
      </c>
      <c r="BW11" s="35">
        <f t="shared" si="147"/>
        <v>3.9736521594032848E-2</v>
      </c>
      <c r="BX11" s="52">
        <f t="shared" si="148"/>
        <v>189781.32696233795</v>
      </c>
      <c r="BY11" s="132">
        <f t="shared" si="149"/>
        <v>0</v>
      </c>
      <c r="BZ11" s="74" t="s">
        <v>8</v>
      </c>
      <c r="CA11" s="32" t="s">
        <v>8</v>
      </c>
      <c r="CB11" s="37">
        <f t="shared" si="150"/>
        <v>0.63650230392847817</v>
      </c>
      <c r="CC11" s="35">
        <f t="shared" si="151"/>
        <v>3.9736521594032848E-2</v>
      </c>
      <c r="CD11" s="52">
        <f t="shared" si="152"/>
        <v>189781.32696233795</v>
      </c>
      <c r="CE11" s="132">
        <f t="shared" si="153"/>
        <v>0</v>
      </c>
      <c r="CF11" s="74" t="s">
        <v>8</v>
      </c>
      <c r="CG11" s="32" t="s">
        <v>8</v>
      </c>
      <c r="CH11" s="37">
        <f t="shared" si="154"/>
        <v>0.63650230392847817</v>
      </c>
      <c r="CI11" s="35">
        <f t="shared" si="155"/>
        <v>3.9736521594032848E-2</v>
      </c>
      <c r="CJ11" s="52">
        <f t="shared" si="156"/>
        <v>189781.32696233795</v>
      </c>
      <c r="CK11" s="132">
        <f t="shared" si="157"/>
        <v>0</v>
      </c>
      <c r="CL11" s="74" t="s">
        <v>8</v>
      </c>
      <c r="CM11" s="32" t="s">
        <v>8</v>
      </c>
      <c r="CN11" s="37">
        <f t="shared" si="158"/>
        <v>0.63650230392847817</v>
      </c>
      <c r="CO11" s="35">
        <f t="shared" si="159"/>
        <v>3.9736521594032848E-2</v>
      </c>
      <c r="CP11" s="52">
        <f t="shared" si="160"/>
        <v>189781.32696233795</v>
      </c>
      <c r="CQ11" s="132">
        <f t="shared" si="161"/>
        <v>0</v>
      </c>
      <c r="CR11" s="74" t="s">
        <v>8</v>
      </c>
      <c r="CS11" s="32" t="s">
        <v>8</v>
      </c>
      <c r="CT11" s="37">
        <f t="shared" si="162"/>
        <v>0.63650230392847817</v>
      </c>
      <c r="CU11" s="35">
        <f t="shared" si="163"/>
        <v>3.9736521594032848E-2</v>
      </c>
      <c r="CV11" s="52">
        <f t="shared" si="164"/>
        <v>189781.32696233795</v>
      </c>
      <c r="CW11" s="132">
        <f t="shared" si="165"/>
        <v>0</v>
      </c>
      <c r="CX11" s="74" t="s">
        <v>8</v>
      </c>
      <c r="CY11" s="32" t="s">
        <v>8</v>
      </c>
      <c r="CZ11" s="37">
        <f t="shared" si="166"/>
        <v>0.63650230392847817</v>
      </c>
      <c r="DA11" s="35">
        <f t="shared" si="167"/>
        <v>3.9736521594032848E-2</v>
      </c>
      <c r="DB11" s="52">
        <f t="shared" si="168"/>
        <v>189781.32696233795</v>
      </c>
      <c r="DC11" s="132">
        <f t="shared" si="169"/>
        <v>0</v>
      </c>
      <c r="DD11" s="74" t="s">
        <v>8</v>
      </c>
      <c r="DE11" s="32" t="s">
        <v>8</v>
      </c>
      <c r="DF11" s="37">
        <f t="shared" si="170"/>
        <v>0.63650230392847817</v>
      </c>
      <c r="DG11" s="35">
        <f t="shared" si="171"/>
        <v>3.9736521594032848E-2</v>
      </c>
      <c r="DH11" s="52">
        <f t="shared" si="172"/>
        <v>189781.32696233795</v>
      </c>
      <c r="DI11" s="132">
        <f t="shared" si="173"/>
        <v>0</v>
      </c>
      <c r="DJ11" s="74" t="s">
        <v>8</v>
      </c>
      <c r="DK11" s="32" t="s">
        <v>8</v>
      </c>
      <c r="DL11" s="37">
        <f t="shared" si="174"/>
        <v>0.63650230392847817</v>
      </c>
      <c r="DM11" s="35">
        <f t="shared" si="175"/>
        <v>3.9736521594032848E-2</v>
      </c>
      <c r="DN11" s="52">
        <f t="shared" si="176"/>
        <v>189781.32696233795</v>
      </c>
      <c r="DO11" s="132">
        <f t="shared" si="177"/>
        <v>0</v>
      </c>
      <c r="DP11" s="74" t="s">
        <v>8</v>
      </c>
      <c r="DQ11" s="32" t="s">
        <v>8</v>
      </c>
      <c r="DR11" s="37">
        <f t="shared" si="178"/>
        <v>0.63650230392847817</v>
      </c>
      <c r="DS11" s="35">
        <f t="shared" si="179"/>
        <v>3.9736521594032848E-2</v>
      </c>
      <c r="DT11" s="52">
        <f t="shared" si="180"/>
        <v>189781.32696233795</v>
      </c>
      <c r="DU11" s="132">
        <f t="shared" si="181"/>
        <v>0</v>
      </c>
      <c r="DV11" s="74" t="s">
        <v>8</v>
      </c>
      <c r="DW11" s="32" t="s">
        <v>8</v>
      </c>
      <c r="DX11" s="37">
        <f t="shared" si="182"/>
        <v>0.63650230392847817</v>
      </c>
      <c r="DY11" s="35">
        <f t="shared" si="183"/>
        <v>3.9736521594032848E-2</v>
      </c>
      <c r="DZ11" s="36">
        <f t="shared" si="184"/>
        <v>189781.32696233795</v>
      </c>
      <c r="EA11" s="77">
        <f t="shared" si="185"/>
        <v>0</v>
      </c>
      <c r="EB11" s="74" t="s">
        <v>8</v>
      </c>
      <c r="EC11" s="32" t="s">
        <v>8</v>
      </c>
      <c r="ED11" s="37">
        <f t="shared" si="186"/>
        <v>0.63650230392847817</v>
      </c>
      <c r="EE11" s="35">
        <f t="shared" si="187"/>
        <v>3.9736521594032848E-2</v>
      </c>
      <c r="EF11" s="36">
        <f t="shared" si="188"/>
        <v>189781.32696233795</v>
      </c>
      <c r="EG11" s="77">
        <f t="shared" si="189"/>
        <v>0</v>
      </c>
      <c r="EH11" s="74" t="s">
        <v>8</v>
      </c>
      <c r="EI11" s="32" t="s">
        <v>8</v>
      </c>
      <c r="EJ11" s="37">
        <f t="shared" si="190"/>
        <v>0.63650230392847817</v>
      </c>
      <c r="EK11" s="35">
        <f t="shared" si="191"/>
        <v>3.9736521594032848E-2</v>
      </c>
      <c r="EL11" s="36">
        <f t="shared" si="192"/>
        <v>189781.32696233795</v>
      </c>
      <c r="EM11" s="77">
        <f t="shared" si="193"/>
        <v>0</v>
      </c>
      <c r="EN11" s="74" t="s">
        <v>8</v>
      </c>
      <c r="EO11" s="32" t="s">
        <v>8</v>
      </c>
      <c r="EP11" s="37">
        <f t="shared" si="194"/>
        <v>0.63650230392847817</v>
      </c>
      <c r="EQ11" s="35">
        <f t="shared" si="195"/>
        <v>3.9736521594032848E-2</v>
      </c>
      <c r="ER11" s="36">
        <f t="shared" si="196"/>
        <v>189781.32696233795</v>
      </c>
      <c r="ES11" s="77">
        <f t="shared" si="197"/>
        <v>0</v>
      </c>
      <c r="ET11" s="74" t="s">
        <v>8</v>
      </c>
      <c r="EU11" s="32" t="s">
        <v>8</v>
      </c>
      <c r="EV11" s="37">
        <f t="shared" si="198"/>
        <v>0.63650230392847817</v>
      </c>
      <c r="EW11" s="35">
        <f t="shared" si="199"/>
        <v>3.9736521594032848E-2</v>
      </c>
      <c r="EX11" s="36">
        <f t="shared" si="200"/>
        <v>189781.32696233795</v>
      </c>
      <c r="EY11" s="77">
        <f t="shared" si="201"/>
        <v>0</v>
      </c>
      <c r="EZ11" s="74" t="s">
        <v>8</v>
      </c>
      <c r="FA11" s="32" t="s">
        <v>8</v>
      </c>
      <c r="FB11" s="37">
        <f t="shared" si="202"/>
        <v>0.63650230392847817</v>
      </c>
      <c r="FC11" s="35">
        <f t="shared" si="203"/>
        <v>3.9736521594032848E-2</v>
      </c>
      <c r="FD11" s="36">
        <f t="shared" si="204"/>
        <v>189781.32696233795</v>
      </c>
      <c r="FE11" s="77">
        <f t="shared" si="205"/>
        <v>0</v>
      </c>
      <c r="FF11" s="74" t="s">
        <v>8</v>
      </c>
      <c r="FG11" s="32" t="s">
        <v>8</v>
      </c>
      <c r="FH11" s="37">
        <f t="shared" si="206"/>
        <v>0.63650230392847817</v>
      </c>
      <c r="FI11" s="35">
        <f t="shared" si="207"/>
        <v>3.9736521594032848E-2</v>
      </c>
      <c r="FJ11" s="36">
        <f t="shared" si="208"/>
        <v>189781.32696233795</v>
      </c>
      <c r="FK11" s="77">
        <f t="shared" si="209"/>
        <v>0</v>
      </c>
      <c r="FL11" s="74" t="s">
        <v>8</v>
      </c>
      <c r="FM11" s="32" t="s">
        <v>8</v>
      </c>
      <c r="FN11" s="37">
        <f t="shared" si="210"/>
        <v>0.63650230392847817</v>
      </c>
      <c r="FO11" s="35">
        <f t="shared" si="211"/>
        <v>3.9736521594032848E-2</v>
      </c>
      <c r="FP11" s="36">
        <f t="shared" si="212"/>
        <v>189781.32696233795</v>
      </c>
      <c r="FQ11" s="77">
        <f t="shared" si="213"/>
        <v>0</v>
      </c>
      <c r="FR11" s="74" t="s">
        <v>8</v>
      </c>
      <c r="FS11" s="32" t="s">
        <v>8</v>
      </c>
      <c r="FT11" s="37">
        <f t="shared" si="214"/>
        <v>0.63650230392847817</v>
      </c>
      <c r="FU11" s="35">
        <f t="shared" si="215"/>
        <v>3.9736521594032848E-2</v>
      </c>
      <c r="FV11" s="36">
        <f t="shared" si="216"/>
        <v>189781.32696233795</v>
      </c>
      <c r="FW11" s="77">
        <f t="shared" si="217"/>
        <v>0</v>
      </c>
      <c r="FX11" s="74" t="s">
        <v>8</v>
      </c>
      <c r="FY11" s="32" t="s">
        <v>8</v>
      </c>
      <c r="FZ11" s="37">
        <f t="shared" si="218"/>
        <v>0.63650230392847817</v>
      </c>
      <c r="GA11" s="35">
        <f t="shared" si="219"/>
        <v>3.9736521594032848E-2</v>
      </c>
      <c r="GB11" s="36">
        <f t="shared" si="220"/>
        <v>189781.32696233795</v>
      </c>
      <c r="GC11" s="77">
        <f t="shared" si="221"/>
        <v>0</v>
      </c>
      <c r="GD11" s="74" t="s">
        <v>8</v>
      </c>
      <c r="GE11" s="32" t="s">
        <v>8</v>
      </c>
      <c r="GF11" s="37">
        <f t="shared" si="222"/>
        <v>0.63650230392847817</v>
      </c>
      <c r="GG11" s="35">
        <f t="shared" si="223"/>
        <v>3.9736521594032848E-2</v>
      </c>
      <c r="GH11" s="36">
        <f t="shared" si="224"/>
        <v>189781.32696233795</v>
      </c>
      <c r="GI11" s="132">
        <f t="shared" si="225"/>
        <v>0</v>
      </c>
      <c r="GJ11" s="158">
        <f t="shared" si="228"/>
        <v>694916.85208325833</v>
      </c>
      <c r="GK11" s="102">
        <f t="shared" si="226"/>
        <v>1110856.7044076391</v>
      </c>
      <c r="GL11" s="83">
        <f t="shared" si="227"/>
        <v>0.63650230392847806</v>
      </c>
    </row>
    <row r="12" spans="1:194" s="27" customFormat="1" ht="37.5">
      <c r="A12" s="170" t="s">
        <v>181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10">
        <f>'Исходные данные'!C14</f>
        <v>1975</v>
      </c>
      <c r="H12" s="33">
        <f>'Исходные данные'!D14</f>
        <v>1846181</v>
      </c>
      <c r="I12" s="34">
        <f>'Расчет КРП'!G10</f>
        <v>3.1470588235294117</v>
      </c>
      <c r="J12" s="116" t="s">
        <v>8</v>
      </c>
      <c r="K12" s="120">
        <f t="shared" si="104"/>
        <v>0.17631714679818974</v>
      </c>
      <c r="L12" s="75">
        <f t="shared" si="105"/>
        <v>1669677.2527249022</v>
      </c>
      <c r="M12" s="72">
        <f t="shared" si="106"/>
        <v>0.33577752975863334</v>
      </c>
      <c r="N12" s="32" t="s">
        <v>8</v>
      </c>
      <c r="O12" s="35">
        <f t="shared" si="107"/>
        <v>0.22981962213314538</v>
      </c>
      <c r="P12" s="36">
        <f t="shared" si="108"/>
        <v>3613998.4159902525</v>
      </c>
      <c r="Q12" s="77">
        <f t="shared" si="109"/>
        <v>3406120.3327982365</v>
      </c>
      <c r="R12" s="156" t="s">
        <v>8</v>
      </c>
      <c r="S12" s="32" t="s">
        <v>8</v>
      </c>
      <c r="T12" s="37">
        <f t="shared" si="110"/>
        <v>0.66107468032528183</v>
      </c>
      <c r="U12" s="35">
        <f t="shared" si="111"/>
        <v>1.5164145197229195E-2</v>
      </c>
      <c r="V12" s="52">
        <f t="shared" si="112"/>
        <v>263624.23527790955</v>
      </c>
      <c r="W12" s="77">
        <f t="shared" si="113"/>
        <v>0</v>
      </c>
      <c r="X12" s="74" t="s">
        <v>8</v>
      </c>
      <c r="Y12" s="32" t="s">
        <v>8</v>
      </c>
      <c r="Z12" s="37">
        <f t="shared" si="114"/>
        <v>0.66107468032528183</v>
      </c>
      <c r="AA12" s="35">
        <f t="shared" si="115"/>
        <v>1.5164145197229195E-2</v>
      </c>
      <c r="AB12" s="52">
        <f t="shared" si="116"/>
        <v>263624.23527790955</v>
      </c>
      <c r="AC12" s="77">
        <f t="shared" si="117"/>
        <v>0</v>
      </c>
      <c r="AD12" s="74" t="s">
        <v>8</v>
      </c>
      <c r="AE12" s="32" t="s">
        <v>8</v>
      </c>
      <c r="AF12" s="37">
        <f t="shared" si="118"/>
        <v>0.66107468032528183</v>
      </c>
      <c r="AG12" s="35">
        <f t="shared" si="119"/>
        <v>1.5164145197229195E-2</v>
      </c>
      <c r="AH12" s="52">
        <f t="shared" si="120"/>
        <v>263624.23527790955</v>
      </c>
      <c r="AI12" s="77">
        <f t="shared" si="121"/>
        <v>0</v>
      </c>
      <c r="AJ12" s="74" t="s">
        <v>8</v>
      </c>
      <c r="AK12" s="32" t="s">
        <v>8</v>
      </c>
      <c r="AL12" s="37">
        <f t="shared" si="122"/>
        <v>0.66107468032528183</v>
      </c>
      <c r="AM12" s="35">
        <f t="shared" si="123"/>
        <v>1.5164145197229195E-2</v>
      </c>
      <c r="AN12" s="52">
        <f t="shared" si="124"/>
        <v>263624.23527790955</v>
      </c>
      <c r="AO12" s="77">
        <f t="shared" si="125"/>
        <v>0</v>
      </c>
      <c r="AP12" s="74" t="s">
        <v>8</v>
      </c>
      <c r="AQ12" s="32" t="s">
        <v>8</v>
      </c>
      <c r="AR12" s="37">
        <f t="shared" si="126"/>
        <v>0.66107468032528183</v>
      </c>
      <c r="AS12" s="35">
        <f t="shared" si="127"/>
        <v>1.5164145197229195E-2</v>
      </c>
      <c r="AT12" s="52">
        <f t="shared" si="128"/>
        <v>263624.23527790955</v>
      </c>
      <c r="AU12" s="77">
        <f t="shared" si="129"/>
        <v>0</v>
      </c>
      <c r="AV12" s="74" t="s">
        <v>8</v>
      </c>
      <c r="AW12" s="32" t="s">
        <v>8</v>
      </c>
      <c r="AX12" s="37">
        <f t="shared" si="130"/>
        <v>0.66107468032528183</v>
      </c>
      <c r="AY12" s="35">
        <f t="shared" si="131"/>
        <v>1.5164145197229195E-2</v>
      </c>
      <c r="AZ12" s="52">
        <f t="shared" si="132"/>
        <v>263624.23527790955</v>
      </c>
      <c r="BA12" s="77">
        <f t="shared" si="133"/>
        <v>0</v>
      </c>
      <c r="BB12" s="74" t="s">
        <v>8</v>
      </c>
      <c r="BC12" s="32" t="s">
        <v>8</v>
      </c>
      <c r="BD12" s="37">
        <f t="shared" si="134"/>
        <v>0.66107468032528183</v>
      </c>
      <c r="BE12" s="35">
        <f t="shared" si="135"/>
        <v>1.5164145197229195E-2</v>
      </c>
      <c r="BF12" s="52">
        <f t="shared" si="136"/>
        <v>263624.23527790955</v>
      </c>
      <c r="BG12" s="77">
        <f t="shared" si="137"/>
        <v>0</v>
      </c>
      <c r="BH12" s="74" t="s">
        <v>8</v>
      </c>
      <c r="BI12" s="32" t="s">
        <v>8</v>
      </c>
      <c r="BJ12" s="37">
        <f t="shared" si="138"/>
        <v>0.66107468032528183</v>
      </c>
      <c r="BK12" s="35">
        <f t="shared" si="139"/>
        <v>1.5164145197229195E-2</v>
      </c>
      <c r="BL12" s="52">
        <f t="shared" si="140"/>
        <v>263624.23527790955</v>
      </c>
      <c r="BM12" s="77">
        <f t="shared" si="141"/>
        <v>0</v>
      </c>
      <c r="BN12" s="74" t="s">
        <v>8</v>
      </c>
      <c r="BO12" s="32" t="s">
        <v>8</v>
      </c>
      <c r="BP12" s="37">
        <f t="shared" si="142"/>
        <v>0.66107468032528183</v>
      </c>
      <c r="BQ12" s="35">
        <f t="shared" si="143"/>
        <v>1.5164145197229195E-2</v>
      </c>
      <c r="BR12" s="52">
        <f t="shared" si="144"/>
        <v>263624.23527790955</v>
      </c>
      <c r="BS12" s="132">
        <f t="shared" si="145"/>
        <v>0</v>
      </c>
      <c r="BT12" s="74" t="s">
        <v>8</v>
      </c>
      <c r="BU12" s="32" t="s">
        <v>8</v>
      </c>
      <c r="BV12" s="37">
        <f t="shared" si="146"/>
        <v>0.66107468032528183</v>
      </c>
      <c r="BW12" s="35">
        <f t="shared" si="147"/>
        <v>1.5164145197229195E-2</v>
      </c>
      <c r="BX12" s="52">
        <f t="shared" si="148"/>
        <v>263624.23527790955</v>
      </c>
      <c r="BY12" s="132">
        <f t="shared" si="149"/>
        <v>0</v>
      </c>
      <c r="BZ12" s="74" t="s">
        <v>8</v>
      </c>
      <c r="CA12" s="32" t="s">
        <v>8</v>
      </c>
      <c r="CB12" s="37">
        <f t="shared" si="150"/>
        <v>0.66107468032528183</v>
      </c>
      <c r="CC12" s="35">
        <f t="shared" si="151"/>
        <v>1.5164145197229195E-2</v>
      </c>
      <c r="CD12" s="52">
        <f t="shared" si="152"/>
        <v>263624.23527790955</v>
      </c>
      <c r="CE12" s="132">
        <f t="shared" si="153"/>
        <v>0</v>
      </c>
      <c r="CF12" s="74" t="s">
        <v>8</v>
      </c>
      <c r="CG12" s="32" t="s">
        <v>8</v>
      </c>
      <c r="CH12" s="37">
        <f t="shared" si="154"/>
        <v>0.66107468032528183</v>
      </c>
      <c r="CI12" s="35">
        <f t="shared" si="155"/>
        <v>1.5164145197229195E-2</v>
      </c>
      <c r="CJ12" s="52">
        <f t="shared" si="156"/>
        <v>263624.23527790955</v>
      </c>
      <c r="CK12" s="132">
        <f t="shared" si="157"/>
        <v>0</v>
      </c>
      <c r="CL12" s="74" t="s">
        <v>8</v>
      </c>
      <c r="CM12" s="32" t="s">
        <v>8</v>
      </c>
      <c r="CN12" s="37">
        <f t="shared" si="158"/>
        <v>0.66107468032528183</v>
      </c>
      <c r="CO12" s="35">
        <f t="shared" si="159"/>
        <v>1.5164145197229195E-2</v>
      </c>
      <c r="CP12" s="52">
        <f t="shared" si="160"/>
        <v>263624.23527790955</v>
      </c>
      <c r="CQ12" s="132">
        <f t="shared" si="161"/>
        <v>0</v>
      </c>
      <c r="CR12" s="74" t="s">
        <v>8</v>
      </c>
      <c r="CS12" s="32" t="s">
        <v>8</v>
      </c>
      <c r="CT12" s="37">
        <f t="shared" si="162"/>
        <v>0.66107468032528183</v>
      </c>
      <c r="CU12" s="35">
        <f t="shared" si="163"/>
        <v>1.5164145197229195E-2</v>
      </c>
      <c r="CV12" s="52">
        <f t="shared" si="164"/>
        <v>263624.23527790955</v>
      </c>
      <c r="CW12" s="132">
        <f t="shared" si="165"/>
        <v>0</v>
      </c>
      <c r="CX12" s="74" t="s">
        <v>8</v>
      </c>
      <c r="CY12" s="32" t="s">
        <v>8</v>
      </c>
      <c r="CZ12" s="37">
        <f t="shared" si="166"/>
        <v>0.66107468032528183</v>
      </c>
      <c r="DA12" s="35">
        <f t="shared" si="167"/>
        <v>1.5164145197229195E-2</v>
      </c>
      <c r="DB12" s="52">
        <f t="shared" si="168"/>
        <v>263624.23527790955</v>
      </c>
      <c r="DC12" s="132">
        <f t="shared" si="169"/>
        <v>0</v>
      </c>
      <c r="DD12" s="74" t="s">
        <v>8</v>
      </c>
      <c r="DE12" s="32" t="s">
        <v>8</v>
      </c>
      <c r="DF12" s="37">
        <f t="shared" si="170"/>
        <v>0.66107468032528183</v>
      </c>
      <c r="DG12" s="35">
        <f t="shared" si="171"/>
        <v>1.5164145197229195E-2</v>
      </c>
      <c r="DH12" s="52">
        <f t="shared" si="172"/>
        <v>263624.23527790955</v>
      </c>
      <c r="DI12" s="132">
        <f t="shared" si="173"/>
        <v>0</v>
      </c>
      <c r="DJ12" s="74" t="s">
        <v>8</v>
      </c>
      <c r="DK12" s="32" t="s">
        <v>8</v>
      </c>
      <c r="DL12" s="37">
        <f t="shared" si="174"/>
        <v>0.66107468032528183</v>
      </c>
      <c r="DM12" s="35">
        <f t="shared" si="175"/>
        <v>1.5164145197229195E-2</v>
      </c>
      <c r="DN12" s="52">
        <f t="shared" si="176"/>
        <v>263624.23527790955</v>
      </c>
      <c r="DO12" s="132">
        <f t="shared" si="177"/>
        <v>0</v>
      </c>
      <c r="DP12" s="74" t="s">
        <v>8</v>
      </c>
      <c r="DQ12" s="32" t="s">
        <v>8</v>
      </c>
      <c r="DR12" s="37">
        <f t="shared" si="178"/>
        <v>0.66107468032528183</v>
      </c>
      <c r="DS12" s="35">
        <f t="shared" si="179"/>
        <v>1.5164145197229195E-2</v>
      </c>
      <c r="DT12" s="52">
        <f t="shared" si="180"/>
        <v>263624.23527790955</v>
      </c>
      <c r="DU12" s="132">
        <f t="shared" si="181"/>
        <v>0</v>
      </c>
      <c r="DV12" s="74" t="s">
        <v>8</v>
      </c>
      <c r="DW12" s="32" t="s">
        <v>8</v>
      </c>
      <c r="DX12" s="37">
        <f t="shared" si="182"/>
        <v>0.66107468032528183</v>
      </c>
      <c r="DY12" s="35">
        <f t="shared" si="183"/>
        <v>1.5164145197229195E-2</v>
      </c>
      <c r="DZ12" s="36">
        <f t="shared" si="184"/>
        <v>263624.23527790955</v>
      </c>
      <c r="EA12" s="77">
        <f t="shared" si="185"/>
        <v>0</v>
      </c>
      <c r="EB12" s="74" t="s">
        <v>8</v>
      </c>
      <c r="EC12" s="32" t="s">
        <v>8</v>
      </c>
      <c r="ED12" s="37">
        <f t="shared" si="186"/>
        <v>0.66107468032528183</v>
      </c>
      <c r="EE12" s="35">
        <f t="shared" si="187"/>
        <v>1.5164145197229195E-2</v>
      </c>
      <c r="EF12" s="36">
        <f t="shared" si="188"/>
        <v>263624.23527790955</v>
      </c>
      <c r="EG12" s="77">
        <f t="shared" si="189"/>
        <v>0</v>
      </c>
      <c r="EH12" s="74" t="s">
        <v>8</v>
      </c>
      <c r="EI12" s="32" t="s">
        <v>8</v>
      </c>
      <c r="EJ12" s="37">
        <f t="shared" si="190"/>
        <v>0.66107468032528183</v>
      </c>
      <c r="EK12" s="35">
        <f t="shared" si="191"/>
        <v>1.5164145197229195E-2</v>
      </c>
      <c r="EL12" s="36">
        <f t="shared" si="192"/>
        <v>263624.23527790955</v>
      </c>
      <c r="EM12" s="77">
        <f t="shared" si="193"/>
        <v>0</v>
      </c>
      <c r="EN12" s="74" t="s">
        <v>8</v>
      </c>
      <c r="EO12" s="32" t="s">
        <v>8</v>
      </c>
      <c r="EP12" s="37">
        <f t="shared" si="194"/>
        <v>0.66107468032528183</v>
      </c>
      <c r="EQ12" s="35">
        <f t="shared" si="195"/>
        <v>1.5164145197229195E-2</v>
      </c>
      <c r="ER12" s="36">
        <f t="shared" si="196"/>
        <v>263624.23527790955</v>
      </c>
      <c r="ES12" s="77">
        <f t="shared" si="197"/>
        <v>0</v>
      </c>
      <c r="ET12" s="74" t="s">
        <v>8</v>
      </c>
      <c r="EU12" s="32" t="s">
        <v>8</v>
      </c>
      <c r="EV12" s="37">
        <f t="shared" si="198"/>
        <v>0.66107468032528183</v>
      </c>
      <c r="EW12" s="35">
        <f t="shared" si="199"/>
        <v>1.5164145197229195E-2</v>
      </c>
      <c r="EX12" s="36">
        <f t="shared" si="200"/>
        <v>263624.23527790955</v>
      </c>
      <c r="EY12" s="77">
        <f t="shared" si="201"/>
        <v>0</v>
      </c>
      <c r="EZ12" s="74" t="s">
        <v>8</v>
      </c>
      <c r="FA12" s="32" t="s">
        <v>8</v>
      </c>
      <c r="FB12" s="37">
        <f t="shared" si="202"/>
        <v>0.66107468032528183</v>
      </c>
      <c r="FC12" s="35">
        <f t="shared" si="203"/>
        <v>1.5164145197229195E-2</v>
      </c>
      <c r="FD12" s="36">
        <f t="shared" si="204"/>
        <v>263624.23527790955</v>
      </c>
      <c r="FE12" s="77">
        <f t="shared" si="205"/>
        <v>0</v>
      </c>
      <c r="FF12" s="74" t="s">
        <v>8</v>
      </c>
      <c r="FG12" s="32" t="s">
        <v>8</v>
      </c>
      <c r="FH12" s="37">
        <f t="shared" si="206"/>
        <v>0.66107468032528183</v>
      </c>
      <c r="FI12" s="35">
        <f t="shared" si="207"/>
        <v>1.5164145197229195E-2</v>
      </c>
      <c r="FJ12" s="36">
        <f t="shared" si="208"/>
        <v>263624.23527790955</v>
      </c>
      <c r="FK12" s="77">
        <f t="shared" si="209"/>
        <v>0</v>
      </c>
      <c r="FL12" s="74" t="s">
        <v>8</v>
      </c>
      <c r="FM12" s="32" t="s">
        <v>8</v>
      </c>
      <c r="FN12" s="37">
        <f t="shared" si="210"/>
        <v>0.66107468032528183</v>
      </c>
      <c r="FO12" s="35">
        <f t="shared" si="211"/>
        <v>1.5164145197229195E-2</v>
      </c>
      <c r="FP12" s="36">
        <f t="shared" si="212"/>
        <v>263624.23527790955</v>
      </c>
      <c r="FQ12" s="77">
        <f t="shared" si="213"/>
        <v>0</v>
      </c>
      <c r="FR12" s="74" t="s">
        <v>8</v>
      </c>
      <c r="FS12" s="32" t="s">
        <v>8</v>
      </c>
      <c r="FT12" s="37">
        <f t="shared" si="214"/>
        <v>0.66107468032528183</v>
      </c>
      <c r="FU12" s="35">
        <f t="shared" si="215"/>
        <v>1.5164145197229195E-2</v>
      </c>
      <c r="FV12" s="36">
        <f t="shared" si="216"/>
        <v>263624.23527790955</v>
      </c>
      <c r="FW12" s="77">
        <f t="shared" si="217"/>
        <v>0</v>
      </c>
      <c r="FX12" s="74" t="s">
        <v>8</v>
      </c>
      <c r="FY12" s="32" t="s">
        <v>8</v>
      </c>
      <c r="FZ12" s="37">
        <f t="shared" si="218"/>
        <v>0.66107468032528183</v>
      </c>
      <c r="GA12" s="35">
        <f t="shared" si="219"/>
        <v>1.5164145197229195E-2</v>
      </c>
      <c r="GB12" s="36">
        <f t="shared" si="220"/>
        <v>263624.23527790955</v>
      </c>
      <c r="GC12" s="77">
        <f t="shared" si="221"/>
        <v>0</v>
      </c>
      <c r="GD12" s="74" t="s">
        <v>8</v>
      </c>
      <c r="GE12" s="32" t="s">
        <v>8</v>
      </c>
      <c r="GF12" s="37">
        <f t="shared" si="222"/>
        <v>0.66107468032528183</v>
      </c>
      <c r="GG12" s="35">
        <f t="shared" si="223"/>
        <v>1.5164145197229195E-2</v>
      </c>
      <c r="GH12" s="36">
        <f t="shared" si="224"/>
        <v>263624.23527790955</v>
      </c>
      <c r="GI12" s="132">
        <f t="shared" si="225"/>
        <v>0</v>
      </c>
      <c r="GJ12" s="158">
        <f t="shared" si="228"/>
        <v>3406120.3327982365</v>
      </c>
      <c r="GK12" s="102">
        <f t="shared" si="226"/>
        <v>5075797.5855231388</v>
      </c>
      <c r="GL12" s="83">
        <f t="shared" si="227"/>
        <v>0.66107468032528183</v>
      </c>
    </row>
    <row r="13" spans="1:194" s="1" customFormat="1" ht="15.75" customHeight="1">
      <c r="A13" s="170" t="s">
        <v>182</v>
      </c>
      <c r="B13" s="196" t="s">
        <v>8</v>
      </c>
      <c r="C13" s="196" t="s">
        <v>8</v>
      </c>
      <c r="D13" s="196" t="s">
        <v>8</v>
      </c>
      <c r="E13" s="196" t="s">
        <v>8</v>
      </c>
      <c r="F13" s="196" t="s">
        <v>8</v>
      </c>
      <c r="G13" s="197">
        <f>'Исходные данные'!C15</f>
        <v>2197</v>
      </c>
      <c r="H13" s="171">
        <f>'Исходные данные'!D15</f>
        <v>5628231</v>
      </c>
      <c r="I13" s="198">
        <f>'Расчет КРП'!G11</f>
        <v>2.8823529411764706</v>
      </c>
      <c r="J13" s="199" t="s">
        <v>8</v>
      </c>
      <c r="K13" s="120">
        <f t="shared" si="104"/>
        <v>0.52757830862279542</v>
      </c>
      <c r="L13" s="75">
        <f t="shared" si="105"/>
        <v>1857357.4299932204</v>
      </c>
      <c r="M13" s="200">
        <f t="shared" si="106"/>
        <v>0.70168301246736142</v>
      </c>
      <c r="N13" s="201" t="s">
        <v>8</v>
      </c>
      <c r="O13" s="202">
        <f t="shared" si="107"/>
        <v>-0.1360858605755827</v>
      </c>
      <c r="P13" s="193">
        <f t="shared" si="108"/>
        <v>0</v>
      </c>
      <c r="Q13" s="203">
        <f t="shared" si="109"/>
        <v>0</v>
      </c>
      <c r="R13" s="204" t="s">
        <v>8</v>
      </c>
      <c r="S13" s="201" t="s">
        <v>8</v>
      </c>
      <c r="T13" s="205">
        <f t="shared" si="110"/>
        <v>0.70168301246736142</v>
      </c>
      <c r="U13" s="202">
        <f t="shared" si="111"/>
        <v>-2.54441869448504E-2</v>
      </c>
      <c r="V13" s="188">
        <f t="shared" si="112"/>
        <v>0</v>
      </c>
      <c r="W13" s="203">
        <f t="shared" si="113"/>
        <v>0</v>
      </c>
      <c r="X13" s="43" t="s">
        <v>8</v>
      </c>
      <c r="Y13" s="201" t="s">
        <v>8</v>
      </c>
      <c r="Z13" s="205">
        <f t="shared" si="114"/>
        <v>0.70168301246736142</v>
      </c>
      <c r="AA13" s="202">
        <f t="shared" si="115"/>
        <v>-2.54441869448504E-2</v>
      </c>
      <c r="AB13" s="188">
        <f t="shared" si="116"/>
        <v>0</v>
      </c>
      <c r="AC13" s="203">
        <f t="shared" si="117"/>
        <v>0</v>
      </c>
      <c r="AD13" s="43" t="s">
        <v>8</v>
      </c>
      <c r="AE13" s="201" t="s">
        <v>8</v>
      </c>
      <c r="AF13" s="205">
        <f t="shared" si="118"/>
        <v>0.70168301246736142</v>
      </c>
      <c r="AG13" s="202">
        <f t="shared" si="119"/>
        <v>-2.54441869448504E-2</v>
      </c>
      <c r="AH13" s="188">
        <f t="shared" si="120"/>
        <v>0</v>
      </c>
      <c r="AI13" s="203">
        <f t="shared" si="121"/>
        <v>0</v>
      </c>
      <c r="AJ13" s="43" t="s">
        <v>8</v>
      </c>
      <c r="AK13" s="201" t="s">
        <v>8</v>
      </c>
      <c r="AL13" s="205">
        <f t="shared" si="122"/>
        <v>0.70168301246736142</v>
      </c>
      <c r="AM13" s="202">
        <f t="shared" si="123"/>
        <v>-2.54441869448504E-2</v>
      </c>
      <c r="AN13" s="188">
        <f t="shared" si="124"/>
        <v>0</v>
      </c>
      <c r="AO13" s="203">
        <f t="shared" si="125"/>
        <v>0</v>
      </c>
      <c r="AP13" s="43" t="s">
        <v>8</v>
      </c>
      <c r="AQ13" s="201" t="s">
        <v>8</v>
      </c>
      <c r="AR13" s="205">
        <f t="shared" si="126"/>
        <v>0.70168301246736142</v>
      </c>
      <c r="AS13" s="202">
        <f t="shared" si="127"/>
        <v>-2.54441869448504E-2</v>
      </c>
      <c r="AT13" s="188">
        <f t="shared" si="128"/>
        <v>0</v>
      </c>
      <c r="AU13" s="203">
        <f t="shared" si="129"/>
        <v>0</v>
      </c>
      <c r="AV13" s="43" t="s">
        <v>8</v>
      </c>
      <c r="AW13" s="201" t="s">
        <v>8</v>
      </c>
      <c r="AX13" s="205">
        <f t="shared" si="130"/>
        <v>0.70168301246736142</v>
      </c>
      <c r="AY13" s="202">
        <f t="shared" si="131"/>
        <v>-2.54441869448504E-2</v>
      </c>
      <c r="AZ13" s="188">
        <f t="shared" si="132"/>
        <v>0</v>
      </c>
      <c r="BA13" s="203">
        <f t="shared" si="133"/>
        <v>0</v>
      </c>
      <c r="BB13" s="43" t="s">
        <v>8</v>
      </c>
      <c r="BC13" s="201" t="s">
        <v>8</v>
      </c>
      <c r="BD13" s="205">
        <f t="shared" si="134"/>
        <v>0.70168301246736142</v>
      </c>
      <c r="BE13" s="202">
        <f t="shared" si="135"/>
        <v>-2.54441869448504E-2</v>
      </c>
      <c r="BF13" s="188">
        <f t="shared" si="136"/>
        <v>0</v>
      </c>
      <c r="BG13" s="203">
        <f t="shared" si="137"/>
        <v>0</v>
      </c>
      <c r="BH13" s="43" t="s">
        <v>8</v>
      </c>
      <c r="BI13" s="201" t="s">
        <v>8</v>
      </c>
      <c r="BJ13" s="205">
        <f t="shared" si="138"/>
        <v>0.70168301246736142</v>
      </c>
      <c r="BK13" s="202">
        <f t="shared" si="139"/>
        <v>-2.54441869448504E-2</v>
      </c>
      <c r="BL13" s="188">
        <f t="shared" si="140"/>
        <v>0</v>
      </c>
      <c r="BM13" s="203">
        <f t="shared" si="141"/>
        <v>0</v>
      </c>
      <c r="BN13" s="43" t="s">
        <v>8</v>
      </c>
      <c r="BO13" s="201" t="s">
        <v>8</v>
      </c>
      <c r="BP13" s="205">
        <f t="shared" si="142"/>
        <v>0.70168301246736142</v>
      </c>
      <c r="BQ13" s="202">
        <f t="shared" si="143"/>
        <v>-2.54441869448504E-2</v>
      </c>
      <c r="BR13" s="188">
        <f t="shared" si="144"/>
        <v>0</v>
      </c>
      <c r="BS13" s="206">
        <f t="shared" si="145"/>
        <v>0</v>
      </c>
      <c r="BT13" s="43" t="s">
        <v>8</v>
      </c>
      <c r="BU13" s="201" t="s">
        <v>8</v>
      </c>
      <c r="BV13" s="205">
        <f t="shared" si="146"/>
        <v>0.70168301246736142</v>
      </c>
      <c r="BW13" s="202">
        <f t="shared" si="147"/>
        <v>-2.54441869448504E-2</v>
      </c>
      <c r="BX13" s="188">
        <f t="shared" si="148"/>
        <v>0</v>
      </c>
      <c r="BY13" s="206">
        <f t="shared" si="149"/>
        <v>0</v>
      </c>
      <c r="BZ13" s="43" t="s">
        <v>8</v>
      </c>
      <c r="CA13" s="201" t="s">
        <v>8</v>
      </c>
      <c r="CB13" s="205">
        <f t="shared" si="150"/>
        <v>0.70168301246736142</v>
      </c>
      <c r="CC13" s="202">
        <f t="shared" si="151"/>
        <v>-2.54441869448504E-2</v>
      </c>
      <c r="CD13" s="188">
        <f t="shared" si="152"/>
        <v>0</v>
      </c>
      <c r="CE13" s="206">
        <f t="shared" si="153"/>
        <v>0</v>
      </c>
      <c r="CF13" s="43" t="s">
        <v>8</v>
      </c>
      <c r="CG13" s="201" t="s">
        <v>8</v>
      </c>
      <c r="CH13" s="205">
        <f t="shared" si="154"/>
        <v>0.70168301246736142</v>
      </c>
      <c r="CI13" s="202">
        <f t="shared" si="155"/>
        <v>-2.54441869448504E-2</v>
      </c>
      <c r="CJ13" s="188">
        <f t="shared" si="156"/>
        <v>0</v>
      </c>
      <c r="CK13" s="206">
        <f t="shared" si="157"/>
        <v>0</v>
      </c>
      <c r="CL13" s="43" t="s">
        <v>8</v>
      </c>
      <c r="CM13" s="201" t="s">
        <v>8</v>
      </c>
      <c r="CN13" s="205">
        <f t="shared" si="158"/>
        <v>0.70168301246736142</v>
      </c>
      <c r="CO13" s="202">
        <f t="shared" si="159"/>
        <v>-2.54441869448504E-2</v>
      </c>
      <c r="CP13" s="188">
        <f t="shared" si="160"/>
        <v>0</v>
      </c>
      <c r="CQ13" s="206">
        <f t="shared" si="161"/>
        <v>0</v>
      </c>
      <c r="CR13" s="43" t="s">
        <v>8</v>
      </c>
      <c r="CS13" s="201" t="s">
        <v>8</v>
      </c>
      <c r="CT13" s="205">
        <f t="shared" si="162"/>
        <v>0.70168301246736142</v>
      </c>
      <c r="CU13" s="202">
        <f t="shared" si="163"/>
        <v>-2.54441869448504E-2</v>
      </c>
      <c r="CV13" s="188">
        <f t="shared" si="164"/>
        <v>0</v>
      </c>
      <c r="CW13" s="206">
        <f t="shared" si="165"/>
        <v>0</v>
      </c>
      <c r="CX13" s="43" t="s">
        <v>8</v>
      </c>
      <c r="CY13" s="201" t="s">
        <v>8</v>
      </c>
      <c r="CZ13" s="205">
        <f t="shared" si="166"/>
        <v>0.70168301246736142</v>
      </c>
      <c r="DA13" s="202">
        <f t="shared" si="167"/>
        <v>-2.54441869448504E-2</v>
      </c>
      <c r="DB13" s="188">
        <f t="shared" si="168"/>
        <v>0</v>
      </c>
      <c r="DC13" s="206">
        <f t="shared" si="169"/>
        <v>0</v>
      </c>
      <c r="DD13" s="43" t="s">
        <v>8</v>
      </c>
      <c r="DE13" s="201" t="s">
        <v>8</v>
      </c>
      <c r="DF13" s="205">
        <f t="shared" si="170"/>
        <v>0.70168301246736142</v>
      </c>
      <c r="DG13" s="202">
        <f t="shared" si="171"/>
        <v>-2.54441869448504E-2</v>
      </c>
      <c r="DH13" s="188">
        <f t="shared" si="172"/>
        <v>0</v>
      </c>
      <c r="DI13" s="206">
        <f t="shared" si="173"/>
        <v>0</v>
      </c>
      <c r="DJ13" s="43" t="s">
        <v>8</v>
      </c>
      <c r="DK13" s="201" t="s">
        <v>8</v>
      </c>
      <c r="DL13" s="205">
        <f t="shared" si="174"/>
        <v>0.70168301246736142</v>
      </c>
      <c r="DM13" s="202">
        <f t="shared" si="175"/>
        <v>-2.54441869448504E-2</v>
      </c>
      <c r="DN13" s="188">
        <f t="shared" si="176"/>
        <v>0</v>
      </c>
      <c r="DO13" s="206">
        <f t="shared" si="177"/>
        <v>0</v>
      </c>
      <c r="DP13" s="43" t="s">
        <v>8</v>
      </c>
      <c r="DQ13" s="201" t="s">
        <v>8</v>
      </c>
      <c r="DR13" s="205">
        <f t="shared" si="178"/>
        <v>0.70168301246736142</v>
      </c>
      <c r="DS13" s="202">
        <f t="shared" si="179"/>
        <v>-2.54441869448504E-2</v>
      </c>
      <c r="DT13" s="188">
        <f t="shared" si="180"/>
        <v>0</v>
      </c>
      <c r="DU13" s="206">
        <f t="shared" si="181"/>
        <v>0</v>
      </c>
      <c r="DV13" s="43" t="s">
        <v>8</v>
      </c>
      <c r="DW13" s="201" t="s">
        <v>8</v>
      </c>
      <c r="DX13" s="205">
        <f t="shared" si="182"/>
        <v>0.70168301246736142</v>
      </c>
      <c r="DY13" s="202">
        <f t="shared" si="183"/>
        <v>-2.54441869448504E-2</v>
      </c>
      <c r="DZ13" s="193">
        <f t="shared" si="184"/>
        <v>0</v>
      </c>
      <c r="EA13" s="203">
        <f t="shared" si="185"/>
        <v>0</v>
      </c>
      <c r="EB13" s="43" t="s">
        <v>8</v>
      </c>
      <c r="EC13" s="201" t="s">
        <v>8</v>
      </c>
      <c r="ED13" s="205">
        <f t="shared" si="186"/>
        <v>0.70168301246736142</v>
      </c>
      <c r="EE13" s="202">
        <f t="shared" si="187"/>
        <v>-2.54441869448504E-2</v>
      </c>
      <c r="EF13" s="193">
        <f t="shared" si="188"/>
        <v>0</v>
      </c>
      <c r="EG13" s="203">
        <f t="shared" si="189"/>
        <v>0</v>
      </c>
      <c r="EH13" s="43" t="s">
        <v>8</v>
      </c>
      <c r="EI13" s="201" t="s">
        <v>8</v>
      </c>
      <c r="EJ13" s="205">
        <f t="shared" si="190"/>
        <v>0.70168301246736142</v>
      </c>
      <c r="EK13" s="202">
        <f t="shared" si="191"/>
        <v>-2.54441869448504E-2</v>
      </c>
      <c r="EL13" s="193">
        <f t="shared" si="192"/>
        <v>0</v>
      </c>
      <c r="EM13" s="203">
        <f t="shared" si="193"/>
        <v>0</v>
      </c>
      <c r="EN13" s="43" t="s">
        <v>8</v>
      </c>
      <c r="EO13" s="201" t="s">
        <v>8</v>
      </c>
      <c r="EP13" s="205">
        <f t="shared" si="194"/>
        <v>0.70168301246736142</v>
      </c>
      <c r="EQ13" s="202">
        <f t="shared" si="195"/>
        <v>-2.54441869448504E-2</v>
      </c>
      <c r="ER13" s="193">
        <f t="shared" si="196"/>
        <v>0</v>
      </c>
      <c r="ES13" s="203">
        <f t="shared" si="197"/>
        <v>0</v>
      </c>
      <c r="ET13" s="43" t="s">
        <v>8</v>
      </c>
      <c r="EU13" s="201" t="s">
        <v>8</v>
      </c>
      <c r="EV13" s="205">
        <f t="shared" si="198"/>
        <v>0.70168301246736142</v>
      </c>
      <c r="EW13" s="202">
        <f t="shared" si="199"/>
        <v>-2.54441869448504E-2</v>
      </c>
      <c r="EX13" s="193">
        <f t="shared" si="200"/>
        <v>0</v>
      </c>
      <c r="EY13" s="203">
        <f t="shared" si="201"/>
        <v>0</v>
      </c>
      <c r="EZ13" s="43" t="s">
        <v>8</v>
      </c>
      <c r="FA13" s="201" t="s">
        <v>8</v>
      </c>
      <c r="FB13" s="205">
        <f t="shared" si="202"/>
        <v>0.70168301246736142</v>
      </c>
      <c r="FC13" s="202">
        <f t="shared" si="203"/>
        <v>-2.54441869448504E-2</v>
      </c>
      <c r="FD13" s="193">
        <f t="shared" si="204"/>
        <v>0</v>
      </c>
      <c r="FE13" s="203">
        <f t="shared" si="205"/>
        <v>0</v>
      </c>
      <c r="FF13" s="43" t="s">
        <v>8</v>
      </c>
      <c r="FG13" s="201" t="s">
        <v>8</v>
      </c>
      <c r="FH13" s="205">
        <f t="shared" si="206"/>
        <v>0.70168301246736142</v>
      </c>
      <c r="FI13" s="202">
        <f t="shared" si="207"/>
        <v>-2.54441869448504E-2</v>
      </c>
      <c r="FJ13" s="193">
        <f t="shared" si="208"/>
        <v>0</v>
      </c>
      <c r="FK13" s="203">
        <f t="shared" si="209"/>
        <v>0</v>
      </c>
      <c r="FL13" s="43" t="s">
        <v>8</v>
      </c>
      <c r="FM13" s="201" t="s">
        <v>8</v>
      </c>
      <c r="FN13" s="205">
        <f t="shared" si="210"/>
        <v>0.70168301246736142</v>
      </c>
      <c r="FO13" s="202">
        <f t="shared" si="211"/>
        <v>-2.54441869448504E-2</v>
      </c>
      <c r="FP13" s="193">
        <f t="shared" si="212"/>
        <v>0</v>
      </c>
      <c r="FQ13" s="203">
        <f t="shared" si="213"/>
        <v>0</v>
      </c>
      <c r="FR13" s="43" t="s">
        <v>8</v>
      </c>
      <c r="FS13" s="201" t="s">
        <v>8</v>
      </c>
      <c r="FT13" s="205">
        <f t="shared" si="214"/>
        <v>0.70168301246736142</v>
      </c>
      <c r="FU13" s="202">
        <f t="shared" si="215"/>
        <v>-2.54441869448504E-2</v>
      </c>
      <c r="FV13" s="193">
        <f t="shared" si="216"/>
        <v>0</v>
      </c>
      <c r="FW13" s="203">
        <f t="shared" si="217"/>
        <v>0</v>
      </c>
      <c r="FX13" s="43" t="s">
        <v>8</v>
      </c>
      <c r="FY13" s="201" t="s">
        <v>8</v>
      </c>
      <c r="FZ13" s="205">
        <f t="shared" si="218"/>
        <v>0.70168301246736142</v>
      </c>
      <c r="GA13" s="202">
        <f t="shared" si="219"/>
        <v>-2.54441869448504E-2</v>
      </c>
      <c r="GB13" s="193">
        <f t="shared" si="220"/>
        <v>0</v>
      </c>
      <c r="GC13" s="203">
        <f t="shared" si="221"/>
        <v>0</v>
      </c>
      <c r="GD13" s="43" t="s">
        <v>8</v>
      </c>
      <c r="GE13" s="201" t="s">
        <v>8</v>
      </c>
      <c r="GF13" s="205">
        <f t="shared" si="222"/>
        <v>0.70168301246736142</v>
      </c>
      <c r="GG13" s="202">
        <f t="shared" si="223"/>
        <v>-2.54441869448504E-2</v>
      </c>
      <c r="GH13" s="193">
        <f t="shared" si="224"/>
        <v>0</v>
      </c>
      <c r="GI13" s="206">
        <f t="shared" si="225"/>
        <v>0</v>
      </c>
      <c r="GJ13" s="158">
        <f t="shared" si="228"/>
        <v>0</v>
      </c>
      <c r="GK13" s="208">
        <f t="shared" si="226"/>
        <v>1857357.4299932204</v>
      </c>
      <c r="GL13" s="83">
        <f t="shared" si="227"/>
        <v>0.70168301246736142</v>
      </c>
    </row>
    <row r="14" spans="1:194" s="27" customFormat="1" ht="37.5">
      <c r="A14" s="170" t="s">
        <v>183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10">
        <f>'Исходные данные'!C16</f>
        <v>932</v>
      </c>
      <c r="H14" s="33">
        <f>'Исходные данные'!D16</f>
        <v>1681465</v>
      </c>
      <c r="I14" s="34">
        <f>'Расчет КРП'!G12</f>
        <v>3.6078431372549016</v>
      </c>
      <c r="J14" s="116" t="s">
        <v>8</v>
      </c>
      <c r="K14" s="120">
        <f t="shared" si="104"/>
        <v>0.29683595543753599</v>
      </c>
      <c r="L14" s="75">
        <f t="shared" si="105"/>
        <v>787918.58204537164</v>
      </c>
      <c r="M14" s="72">
        <f t="shared" si="106"/>
        <v>0.43593047426987941</v>
      </c>
      <c r="N14" s="32" t="s">
        <v>8</v>
      </c>
      <c r="O14" s="35">
        <f t="shared" si="107"/>
        <v>0.12966667762189932</v>
      </c>
      <c r="P14" s="36">
        <f t="shared" si="108"/>
        <v>1103115.1104376537</v>
      </c>
      <c r="Q14" s="77">
        <f t="shared" si="109"/>
        <v>1039663.6563132347</v>
      </c>
      <c r="R14" s="156" t="s">
        <v>8</v>
      </c>
      <c r="S14" s="32" t="s">
        <v>8</v>
      </c>
      <c r="T14" s="37">
        <f t="shared" si="110"/>
        <v>0.61946658995199066</v>
      </c>
      <c r="U14" s="35">
        <f t="shared" si="111"/>
        <v>5.6772235570520357E-2</v>
      </c>
      <c r="V14" s="52">
        <f t="shared" si="112"/>
        <v>533943.11843169085</v>
      </c>
      <c r="W14" s="77">
        <f t="shared" si="113"/>
        <v>0</v>
      </c>
      <c r="X14" s="74" t="s">
        <v>8</v>
      </c>
      <c r="Y14" s="32" t="s">
        <v>8</v>
      </c>
      <c r="Z14" s="37">
        <f t="shared" si="114"/>
        <v>0.61946658995199066</v>
      </c>
      <c r="AA14" s="35">
        <f t="shared" si="115"/>
        <v>5.6772235570520357E-2</v>
      </c>
      <c r="AB14" s="52">
        <f t="shared" si="116"/>
        <v>533943.11843169085</v>
      </c>
      <c r="AC14" s="77">
        <f t="shared" si="117"/>
        <v>0</v>
      </c>
      <c r="AD14" s="74" t="s">
        <v>8</v>
      </c>
      <c r="AE14" s="32" t="s">
        <v>8</v>
      </c>
      <c r="AF14" s="37">
        <f t="shared" si="118"/>
        <v>0.61946658995199066</v>
      </c>
      <c r="AG14" s="35">
        <f t="shared" si="119"/>
        <v>5.6772235570520357E-2</v>
      </c>
      <c r="AH14" s="52">
        <f t="shared" si="120"/>
        <v>533943.11843169085</v>
      </c>
      <c r="AI14" s="77">
        <f t="shared" si="121"/>
        <v>0</v>
      </c>
      <c r="AJ14" s="74" t="s">
        <v>8</v>
      </c>
      <c r="AK14" s="32" t="s">
        <v>8</v>
      </c>
      <c r="AL14" s="37">
        <f t="shared" si="122"/>
        <v>0.61946658995199066</v>
      </c>
      <c r="AM14" s="35">
        <f t="shared" si="123"/>
        <v>5.6772235570520357E-2</v>
      </c>
      <c r="AN14" s="52">
        <f t="shared" si="124"/>
        <v>533943.11843169085</v>
      </c>
      <c r="AO14" s="77">
        <f t="shared" si="125"/>
        <v>0</v>
      </c>
      <c r="AP14" s="74" t="s">
        <v>8</v>
      </c>
      <c r="AQ14" s="32" t="s">
        <v>8</v>
      </c>
      <c r="AR14" s="37">
        <f t="shared" si="126"/>
        <v>0.61946658995199066</v>
      </c>
      <c r="AS14" s="35">
        <f t="shared" si="127"/>
        <v>5.6772235570520357E-2</v>
      </c>
      <c r="AT14" s="52">
        <f t="shared" si="128"/>
        <v>533943.11843169085</v>
      </c>
      <c r="AU14" s="77">
        <f t="shared" si="129"/>
        <v>0</v>
      </c>
      <c r="AV14" s="74" t="s">
        <v>8</v>
      </c>
      <c r="AW14" s="32" t="s">
        <v>8</v>
      </c>
      <c r="AX14" s="37">
        <f t="shared" si="130"/>
        <v>0.61946658995199066</v>
      </c>
      <c r="AY14" s="35">
        <f t="shared" si="131"/>
        <v>5.6772235570520357E-2</v>
      </c>
      <c r="AZ14" s="52">
        <f t="shared" si="132"/>
        <v>533943.11843169085</v>
      </c>
      <c r="BA14" s="77">
        <f t="shared" si="133"/>
        <v>0</v>
      </c>
      <c r="BB14" s="74" t="s">
        <v>8</v>
      </c>
      <c r="BC14" s="32" t="s">
        <v>8</v>
      </c>
      <c r="BD14" s="37">
        <f t="shared" si="134"/>
        <v>0.61946658995199066</v>
      </c>
      <c r="BE14" s="35">
        <f t="shared" si="135"/>
        <v>5.6772235570520357E-2</v>
      </c>
      <c r="BF14" s="52">
        <f t="shared" si="136"/>
        <v>533943.11843169085</v>
      </c>
      <c r="BG14" s="77">
        <f t="shared" si="137"/>
        <v>0</v>
      </c>
      <c r="BH14" s="74" t="s">
        <v>8</v>
      </c>
      <c r="BI14" s="32" t="s">
        <v>8</v>
      </c>
      <c r="BJ14" s="37">
        <f t="shared" si="138"/>
        <v>0.61946658995199066</v>
      </c>
      <c r="BK14" s="35">
        <f t="shared" si="139"/>
        <v>5.6772235570520357E-2</v>
      </c>
      <c r="BL14" s="52">
        <f t="shared" si="140"/>
        <v>533943.11843169085</v>
      </c>
      <c r="BM14" s="77">
        <f t="shared" si="141"/>
        <v>0</v>
      </c>
      <c r="BN14" s="74" t="s">
        <v>8</v>
      </c>
      <c r="BO14" s="32" t="s">
        <v>8</v>
      </c>
      <c r="BP14" s="37">
        <f t="shared" si="142"/>
        <v>0.61946658995199066</v>
      </c>
      <c r="BQ14" s="35">
        <f t="shared" si="143"/>
        <v>5.6772235570520357E-2</v>
      </c>
      <c r="BR14" s="52">
        <f t="shared" si="144"/>
        <v>533943.11843169085</v>
      </c>
      <c r="BS14" s="132">
        <f t="shared" si="145"/>
        <v>0</v>
      </c>
      <c r="BT14" s="74" t="s">
        <v>8</v>
      </c>
      <c r="BU14" s="32" t="s">
        <v>8</v>
      </c>
      <c r="BV14" s="37">
        <f t="shared" si="146"/>
        <v>0.61946658995199066</v>
      </c>
      <c r="BW14" s="35">
        <f t="shared" si="147"/>
        <v>5.6772235570520357E-2</v>
      </c>
      <c r="BX14" s="52">
        <f t="shared" si="148"/>
        <v>533943.11843169085</v>
      </c>
      <c r="BY14" s="132">
        <f t="shared" si="149"/>
        <v>0</v>
      </c>
      <c r="BZ14" s="74" t="s">
        <v>8</v>
      </c>
      <c r="CA14" s="32" t="s">
        <v>8</v>
      </c>
      <c r="CB14" s="37">
        <f t="shared" si="150"/>
        <v>0.61946658995199066</v>
      </c>
      <c r="CC14" s="35">
        <f t="shared" si="151"/>
        <v>5.6772235570520357E-2</v>
      </c>
      <c r="CD14" s="52">
        <f t="shared" si="152"/>
        <v>533943.11843169085</v>
      </c>
      <c r="CE14" s="132">
        <f t="shared" si="153"/>
        <v>0</v>
      </c>
      <c r="CF14" s="74" t="s">
        <v>8</v>
      </c>
      <c r="CG14" s="32" t="s">
        <v>8</v>
      </c>
      <c r="CH14" s="37">
        <f t="shared" si="154"/>
        <v>0.61946658995199066</v>
      </c>
      <c r="CI14" s="35">
        <f t="shared" si="155"/>
        <v>5.6772235570520357E-2</v>
      </c>
      <c r="CJ14" s="52">
        <f t="shared" si="156"/>
        <v>533943.11843169085</v>
      </c>
      <c r="CK14" s="132">
        <f t="shared" si="157"/>
        <v>0</v>
      </c>
      <c r="CL14" s="74" t="s">
        <v>8</v>
      </c>
      <c r="CM14" s="32" t="s">
        <v>8</v>
      </c>
      <c r="CN14" s="37">
        <f t="shared" si="158"/>
        <v>0.61946658995199066</v>
      </c>
      <c r="CO14" s="35">
        <f t="shared" si="159"/>
        <v>5.6772235570520357E-2</v>
      </c>
      <c r="CP14" s="52">
        <f t="shared" si="160"/>
        <v>533943.11843169085</v>
      </c>
      <c r="CQ14" s="132">
        <f t="shared" si="161"/>
        <v>0</v>
      </c>
      <c r="CR14" s="74" t="s">
        <v>8</v>
      </c>
      <c r="CS14" s="32" t="s">
        <v>8</v>
      </c>
      <c r="CT14" s="37">
        <f t="shared" si="162"/>
        <v>0.61946658995199066</v>
      </c>
      <c r="CU14" s="35">
        <f t="shared" si="163"/>
        <v>5.6772235570520357E-2</v>
      </c>
      <c r="CV14" s="52">
        <f t="shared" si="164"/>
        <v>533943.11843169085</v>
      </c>
      <c r="CW14" s="132">
        <f t="shared" si="165"/>
        <v>0</v>
      </c>
      <c r="CX14" s="74" t="s">
        <v>8</v>
      </c>
      <c r="CY14" s="32" t="s">
        <v>8</v>
      </c>
      <c r="CZ14" s="37">
        <f t="shared" si="166"/>
        <v>0.61946658995199066</v>
      </c>
      <c r="DA14" s="35">
        <f t="shared" si="167"/>
        <v>5.6772235570520357E-2</v>
      </c>
      <c r="DB14" s="52">
        <f t="shared" si="168"/>
        <v>533943.11843169085</v>
      </c>
      <c r="DC14" s="132">
        <f t="shared" si="169"/>
        <v>0</v>
      </c>
      <c r="DD14" s="74" t="s">
        <v>8</v>
      </c>
      <c r="DE14" s="32" t="s">
        <v>8</v>
      </c>
      <c r="DF14" s="37">
        <f t="shared" si="170"/>
        <v>0.61946658995199066</v>
      </c>
      <c r="DG14" s="35">
        <f t="shared" si="171"/>
        <v>5.6772235570520357E-2</v>
      </c>
      <c r="DH14" s="52">
        <f t="shared" si="172"/>
        <v>533943.11843169085</v>
      </c>
      <c r="DI14" s="132">
        <f t="shared" si="173"/>
        <v>0</v>
      </c>
      <c r="DJ14" s="74" t="s">
        <v>8</v>
      </c>
      <c r="DK14" s="32" t="s">
        <v>8</v>
      </c>
      <c r="DL14" s="37">
        <f t="shared" si="174"/>
        <v>0.61946658995199066</v>
      </c>
      <c r="DM14" s="35">
        <f t="shared" si="175"/>
        <v>5.6772235570520357E-2</v>
      </c>
      <c r="DN14" s="52">
        <f t="shared" si="176"/>
        <v>533943.11843169085</v>
      </c>
      <c r="DO14" s="132">
        <f t="shared" si="177"/>
        <v>0</v>
      </c>
      <c r="DP14" s="74" t="s">
        <v>8</v>
      </c>
      <c r="DQ14" s="32" t="s">
        <v>8</v>
      </c>
      <c r="DR14" s="37">
        <f t="shared" si="178"/>
        <v>0.61946658995199066</v>
      </c>
      <c r="DS14" s="35">
        <f t="shared" si="179"/>
        <v>5.6772235570520357E-2</v>
      </c>
      <c r="DT14" s="52">
        <f t="shared" si="180"/>
        <v>533943.11843169085</v>
      </c>
      <c r="DU14" s="132">
        <f t="shared" si="181"/>
        <v>0</v>
      </c>
      <c r="DV14" s="74" t="s">
        <v>8</v>
      </c>
      <c r="DW14" s="32" t="s">
        <v>8</v>
      </c>
      <c r="DX14" s="37">
        <f t="shared" si="182"/>
        <v>0.61946658995199066</v>
      </c>
      <c r="DY14" s="35">
        <f t="shared" si="183"/>
        <v>5.6772235570520357E-2</v>
      </c>
      <c r="DZ14" s="36">
        <f t="shared" si="184"/>
        <v>533943.11843169085</v>
      </c>
      <c r="EA14" s="77">
        <f t="shared" si="185"/>
        <v>0</v>
      </c>
      <c r="EB14" s="74" t="s">
        <v>8</v>
      </c>
      <c r="EC14" s="32" t="s">
        <v>8</v>
      </c>
      <c r="ED14" s="37">
        <f t="shared" si="186"/>
        <v>0.61946658995199066</v>
      </c>
      <c r="EE14" s="35">
        <f t="shared" si="187"/>
        <v>5.6772235570520357E-2</v>
      </c>
      <c r="EF14" s="36">
        <f t="shared" si="188"/>
        <v>533943.11843169085</v>
      </c>
      <c r="EG14" s="77">
        <f t="shared" si="189"/>
        <v>0</v>
      </c>
      <c r="EH14" s="74" t="s">
        <v>8</v>
      </c>
      <c r="EI14" s="32" t="s">
        <v>8</v>
      </c>
      <c r="EJ14" s="37">
        <f t="shared" si="190"/>
        <v>0.61946658995199066</v>
      </c>
      <c r="EK14" s="35">
        <f t="shared" si="191"/>
        <v>5.6772235570520357E-2</v>
      </c>
      <c r="EL14" s="36">
        <f t="shared" si="192"/>
        <v>533943.11843169085</v>
      </c>
      <c r="EM14" s="77">
        <f t="shared" si="193"/>
        <v>0</v>
      </c>
      <c r="EN14" s="74" t="s">
        <v>8</v>
      </c>
      <c r="EO14" s="32" t="s">
        <v>8</v>
      </c>
      <c r="EP14" s="37">
        <f t="shared" si="194"/>
        <v>0.61946658995199066</v>
      </c>
      <c r="EQ14" s="35">
        <f t="shared" si="195"/>
        <v>5.6772235570520357E-2</v>
      </c>
      <c r="ER14" s="36">
        <f t="shared" si="196"/>
        <v>533943.11843169085</v>
      </c>
      <c r="ES14" s="77">
        <f t="shared" si="197"/>
        <v>0</v>
      </c>
      <c r="ET14" s="74" t="s">
        <v>8</v>
      </c>
      <c r="EU14" s="32" t="s">
        <v>8</v>
      </c>
      <c r="EV14" s="37">
        <f t="shared" si="198"/>
        <v>0.61946658995199066</v>
      </c>
      <c r="EW14" s="35">
        <f t="shared" si="199"/>
        <v>5.6772235570520357E-2</v>
      </c>
      <c r="EX14" s="36">
        <f t="shared" si="200"/>
        <v>533943.11843169085</v>
      </c>
      <c r="EY14" s="77">
        <f t="shared" si="201"/>
        <v>0</v>
      </c>
      <c r="EZ14" s="74" t="s">
        <v>8</v>
      </c>
      <c r="FA14" s="32" t="s">
        <v>8</v>
      </c>
      <c r="FB14" s="37">
        <f t="shared" si="202"/>
        <v>0.61946658995199066</v>
      </c>
      <c r="FC14" s="35">
        <f t="shared" si="203"/>
        <v>5.6772235570520357E-2</v>
      </c>
      <c r="FD14" s="36">
        <f t="shared" si="204"/>
        <v>533943.11843169085</v>
      </c>
      <c r="FE14" s="77">
        <f t="shared" si="205"/>
        <v>0</v>
      </c>
      <c r="FF14" s="74" t="s">
        <v>8</v>
      </c>
      <c r="FG14" s="32" t="s">
        <v>8</v>
      </c>
      <c r="FH14" s="37">
        <f t="shared" si="206"/>
        <v>0.61946658995199066</v>
      </c>
      <c r="FI14" s="35">
        <f t="shared" si="207"/>
        <v>5.6772235570520357E-2</v>
      </c>
      <c r="FJ14" s="36">
        <f t="shared" si="208"/>
        <v>533943.11843169085</v>
      </c>
      <c r="FK14" s="77">
        <f t="shared" si="209"/>
        <v>0</v>
      </c>
      <c r="FL14" s="74" t="s">
        <v>8</v>
      </c>
      <c r="FM14" s="32" t="s">
        <v>8</v>
      </c>
      <c r="FN14" s="37">
        <f t="shared" si="210"/>
        <v>0.61946658995199066</v>
      </c>
      <c r="FO14" s="35">
        <f t="shared" si="211"/>
        <v>5.6772235570520357E-2</v>
      </c>
      <c r="FP14" s="36">
        <f t="shared" si="212"/>
        <v>533943.11843169085</v>
      </c>
      <c r="FQ14" s="77">
        <f t="shared" si="213"/>
        <v>0</v>
      </c>
      <c r="FR14" s="74" t="s">
        <v>8</v>
      </c>
      <c r="FS14" s="32" t="s">
        <v>8</v>
      </c>
      <c r="FT14" s="37">
        <f t="shared" si="214"/>
        <v>0.61946658995199066</v>
      </c>
      <c r="FU14" s="35">
        <f t="shared" si="215"/>
        <v>5.6772235570520357E-2</v>
      </c>
      <c r="FV14" s="36">
        <f t="shared" si="216"/>
        <v>533943.11843169085</v>
      </c>
      <c r="FW14" s="77">
        <f t="shared" si="217"/>
        <v>0</v>
      </c>
      <c r="FX14" s="74" t="s">
        <v>8</v>
      </c>
      <c r="FY14" s="32" t="s">
        <v>8</v>
      </c>
      <c r="FZ14" s="37">
        <f t="shared" si="218"/>
        <v>0.61946658995199066</v>
      </c>
      <c r="GA14" s="35">
        <f t="shared" si="219"/>
        <v>5.6772235570520357E-2</v>
      </c>
      <c r="GB14" s="36">
        <f t="shared" si="220"/>
        <v>533943.11843169085</v>
      </c>
      <c r="GC14" s="77">
        <f t="shared" si="221"/>
        <v>0</v>
      </c>
      <c r="GD14" s="74" t="s">
        <v>8</v>
      </c>
      <c r="GE14" s="32" t="s">
        <v>8</v>
      </c>
      <c r="GF14" s="37">
        <f t="shared" si="222"/>
        <v>0.61946658995199066</v>
      </c>
      <c r="GG14" s="35">
        <f t="shared" si="223"/>
        <v>5.6772235570520357E-2</v>
      </c>
      <c r="GH14" s="36">
        <f t="shared" si="224"/>
        <v>533943.11843169085</v>
      </c>
      <c r="GI14" s="132">
        <f t="shared" si="225"/>
        <v>0</v>
      </c>
      <c r="GJ14" s="158">
        <f t="shared" si="228"/>
        <v>1039663.6563132347</v>
      </c>
      <c r="GK14" s="102">
        <f t="shared" si="226"/>
        <v>1827582.2383586064</v>
      </c>
      <c r="GL14" s="83">
        <f t="shared" si="227"/>
        <v>0.61946658995199066</v>
      </c>
    </row>
    <row r="15" spans="1:194" s="1" customFormat="1" ht="37.5">
      <c r="A15" s="170" t="s">
        <v>184</v>
      </c>
      <c r="B15" s="196" t="s">
        <v>8</v>
      </c>
      <c r="C15" s="196" t="s">
        <v>8</v>
      </c>
      <c r="D15" s="196" t="s">
        <v>8</v>
      </c>
      <c r="E15" s="196" t="s">
        <v>8</v>
      </c>
      <c r="F15" s="196" t="s">
        <v>8</v>
      </c>
      <c r="G15" s="197">
        <f>'Исходные данные'!C17</f>
        <v>1755</v>
      </c>
      <c r="H15" s="171">
        <f>'Исходные данные'!D17</f>
        <v>4656967</v>
      </c>
      <c r="I15" s="198">
        <f>'Расчет КРП'!G13</f>
        <v>3.5196078431372548</v>
      </c>
      <c r="J15" s="199" t="s">
        <v>8</v>
      </c>
      <c r="K15" s="120">
        <f t="shared" si="104"/>
        <v>0.44753189848939301</v>
      </c>
      <c r="L15" s="75">
        <f t="shared" si="105"/>
        <v>1483687.8878644069</v>
      </c>
      <c r="M15" s="200">
        <f t="shared" si="106"/>
        <v>0.59011346654037466</v>
      </c>
      <c r="N15" s="201" t="s">
        <v>8</v>
      </c>
      <c r="O15" s="202">
        <f t="shared" si="107"/>
        <v>-2.4516314648595938E-2</v>
      </c>
      <c r="P15" s="193">
        <f t="shared" si="108"/>
        <v>0</v>
      </c>
      <c r="Q15" s="203">
        <f t="shared" si="109"/>
        <v>0</v>
      </c>
      <c r="R15" s="204" t="s">
        <v>8</v>
      </c>
      <c r="S15" s="201" t="s">
        <v>8</v>
      </c>
      <c r="T15" s="205">
        <f t="shared" si="110"/>
        <v>0.59011346654037466</v>
      </c>
      <c r="U15" s="202">
        <f t="shared" si="111"/>
        <v>8.6125358982136357E-2</v>
      </c>
      <c r="V15" s="188">
        <f t="shared" si="112"/>
        <v>1487982.6965531392</v>
      </c>
      <c r="W15" s="203">
        <f t="shared" si="113"/>
        <v>0</v>
      </c>
      <c r="X15" s="43" t="s">
        <v>8</v>
      </c>
      <c r="Y15" s="201" t="s">
        <v>8</v>
      </c>
      <c r="Z15" s="205">
        <f t="shared" si="114"/>
        <v>0.59011346654037466</v>
      </c>
      <c r="AA15" s="202">
        <f t="shared" si="115"/>
        <v>8.6125358982136357E-2</v>
      </c>
      <c r="AB15" s="188">
        <f t="shared" si="116"/>
        <v>1487982.6965531392</v>
      </c>
      <c r="AC15" s="203">
        <f t="shared" si="117"/>
        <v>0</v>
      </c>
      <c r="AD15" s="43" t="s">
        <v>8</v>
      </c>
      <c r="AE15" s="201" t="s">
        <v>8</v>
      </c>
      <c r="AF15" s="205">
        <f t="shared" si="118"/>
        <v>0.59011346654037466</v>
      </c>
      <c r="AG15" s="202">
        <f t="shared" si="119"/>
        <v>8.6125358982136357E-2</v>
      </c>
      <c r="AH15" s="188">
        <f t="shared" si="120"/>
        <v>1487982.6965531392</v>
      </c>
      <c r="AI15" s="203">
        <f t="shared" si="121"/>
        <v>0</v>
      </c>
      <c r="AJ15" s="43" t="s">
        <v>8</v>
      </c>
      <c r="AK15" s="201" t="s">
        <v>8</v>
      </c>
      <c r="AL15" s="205">
        <f t="shared" si="122"/>
        <v>0.59011346654037466</v>
      </c>
      <c r="AM15" s="202">
        <f t="shared" si="123"/>
        <v>8.6125358982136357E-2</v>
      </c>
      <c r="AN15" s="188">
        <f t="shared" si="124"/>
        <v>1487982.6965531392</v>
      </c>
      <c r="AO15" s="203">
        <f t="shared" si="125"/>
        <v>0</v>
      </c>
      <c r="AP15" s="43" t="s">
        <v>8</v>
      </c>
      <c r="AQ15" s="201" t="s">
        <v>8</v>
      </c>
      <c r="AR15" s="205">
        <f t="shared" si="126"/>
        <v>0.59011346654037466</v>
      </c>
      <c r="AS15" s="202">
        <f t="shared" si="127"/>
        <v>8.6125358982136357E-2</v>
      </c>
      <c r="AT15" s="188">
        <f t="shared" si="128"/>
        <v>1487982.6965531392</v>
      </c>
      <c r="AU15" s="203">
        <f t="shared" si="129"/>
        <v>0</v>
      </c>
      <c r="AV15" s="43" t="s">
        <v>8</v>
      </c>
      <c r="AW15" s="201" t="s">
        <v>8</v>
      </c>
      <c r="AX15" s="205">
        <f t="shared" si="130"/>
        <v>0.59011346654037466</v>
      </c>
      <c r="AY15" s="202">
        <f t="shared" si="131"/>
        <v>8.6125358982136357E-2</v>
      </c>
      <c r="AZ15" s="188">
        <f t="shared" si="132"/>
        <v>1487982.6965531392</v>
      </c>
      <c r="BA15" s="203">
        <f t="shared" si="133"/>
        <v>0</v>
      </c>
      <c r="BB15" s="43" t="s">
        <v>8</v>
      </c>
      <c r="BC15" s="201" t="s">
        <v>8</v>
      </c>
      <c r="BD15" s="205">
        <f t="shared" si="134"/>
        <v>0.59011346654037466</v>
      </c>
      <c r="BE15" s="202">
        <f t="shared" si="135"/>
        <v>8.6125358982136357E-2</v>
      </c>
      <c r="BF15" s="188">
        <f t="shared" si="136"/>
        <v>1487982.6965531392</v>
      </c>
      <c r="BG15" s="203">
        <f t="shared" si="137"/>
        <v>0</v>
      </c>
      <c r="BH15" s="43" t="s">
        <v>8</v>
      </c>
      <c r="BI15" s="201" t="s">
        <v>8</v>
      </c>
      <c r="BJ15" s="205">
        <f t="shared" si="138"/>
        <v>0.59011346654037466</v>
      </c>
      <c r="BK15" s="202">
        <f t="shared" si="139"/>
        <v>8.6125358982136357E-2</v>
      </c>
      <c r="BL15" s="188">
        <f t="shared" si="140"/>
        <v>1487982.6965531392</v>
      </c>
      <c r="BM15" s="203">
        <f t="shared" si="141"/>
        <v>0</v>
      </c>
      <c r="BN15" s="43" t="s">
        <v>8</v>
      </c>
      <c r="BO15" s="201" t="s">
        <v>8</v>
      </c>
      <c r="BP15" s="205">
        <f t="shared" si="142"/>
        <v>0.59011346654037466</v>
      </c>
      <c r="BQ15" s="202">
        <f t="shared" si="143"/>
        <v>8.6125358982136357E-2</v>
      </c>
      <c r="BR15" s="188">
        <f t="shared" si="144"/>
        <v>1487982.6965531392</v>
      </c>
      <c r="BS15" s="206">
        <f t="shared" si="145"/>
        <v>0</v>
      </c>
      <c r="BT15" s="43" t="s">
        <v>8</v>
      </c>
      <c r="BU15" s="201" t="s">
        <v>8</v>
      </c>
      <c r="BV15" s="205">
        <f t="shared" si="146"/>
        <v>0.59011346654037466</v>
      </c>
      <c r="BW15" s="202">
        <f t="shared" si="147"/>
        <v>8.6125358982136357E-2</v>
      </c>
      <c r="BX15" s="188">
        <f t="shared" si="148"/>
        <v>1487982.6965531392</v>
      </c>
      <c r="BY15" s="206">
        <f t="shared" si="149"/>
        <v>0</v>
      </c>
      <c r="BZ15" s="43" t="s">
        <v>8</v>
      </c>
      <c r="CA15" s="201" t="s">
        <v>8</v>
      </c>
      <c r="CB15" s="205">
        <f t="shared" si="150"/>
        <v>0.59011346654037466</v>
      </c>
      <c r="CC15" s="202">
        <f t="shared" si="151"/>
        <v>8.6125358982136357E-2</v>
      </c>
      <c r="CD15" s="188">
        <f t="shared" si="152"/>
        <v>1487982.6965531392</v>
      </c>
      <c r="CE15" s="206">
        <f t="shared" si="153"/>
        <v>0</v>
      </c>
      <c r="CF15" s="43" t="s">
        <v>8</v>
      </c>
      <c r="CG15" s="201" t="s">
        <v>8</v>
      </c>
      <c r="CH15" s="205">
        <f t="shared" si="154"/>
        <v>0.59011346654037466</v>
      </c>
      <c r="CI15" s="202">
        <f t="shared" si="155"/>
        <v>8.6125358982136357E-2</v>
      </c>
      <c r="CJ15" s="188">
        <f t="shared" si="156"/>
        <v>1487982.6965531392</v>
      </c>
      <c r="CK15" s="206">
        <f t="shared" si="157"/>
        <v>0</v>
      </c>
      <c r="CL15" s="43" t="s">
        <v>8</v>
      </c>
      <c r="CM15" s="201" t="s">
        <v>8</v>
      </c>
      <c r="CN15" s="205">
        <f t="shared" si="158"/>
        <v>0.59011346654037466</v>
      </c>
      <c r="CO15" s="202">
        <f t="shared" si="159"/>
        <v>8.6125358982136357E-2</v>
      </c>
      <c r="CP15" s="188">
        <f t="shared" si="160"/>
        <v>1487982.6965531392</v>
      </c>
      <c r="CQ15" s="206">
        <f t="shared" si="161"/>
        <v>0</v>
      </c>
      <c r="CR15" s="43" t="s">
        <v>8</v>
      </c>
      <c r="CS15" s="201" t="s">
        <v>8</v>
      </c>
      <c r="CT15" s="205">
        <f t="shared" si="162"/>
        <v>0.59011346654037466</v>
      </c>
      <c r="CU15" s="202">
        <f t="shared" si="163"/>
        <v>8.6125358982136357E-2</v>
      </c>
      <c r="CV15" s="188">
        <f t="shared" si="164"/>
        <v>1487982.6965531392</v>
      </c>
      <c r="CW15" s="206">
        <f t="shared" si="165"/>
        <v>0</v>
      </c>
      <c r="CX15" s="43" t="s">
        <v>8</v>
      </c>
      <c r="CY15" s="201" t="s">
        <v>8</v>
      </c>
      <c r="CZ15" s="205">
        <f t="shared" si="166"/>
        <v>0.59011346654037466</v>
      </c>
      <c r="DA15" s="202">
        <f t="shared" si="167"/>
        <v>8.6125358982136357E-2</v>
      </c>
      <c r="DB15" s="188">
        <f t="shared" si="168"/>
        <v>1487982.6965531392</v>
      </c>
      <c r="DC15" s="206">
        <f t="shared" si="169"/>
        <v>0</v>
      </c>
      <c r="DD15" s="43" t="s">
        <v>8</v>
      </c>
      <c r="DE15" s="201" t="s">
        <v>8</v>
      </c>
      <c r="DF15" s="205">
        <f t="shared" si="170"/>
        <v>0.59011346654037466</v>
      </c>
      <c r="DG15" s="202">
        <f t="shared" si="171"/>
        <v>8.6125358982136357E-2</v>
      </c>
      <c r="DH15" s="188">
        <f t="shared" si="172"/>
        <v>1487982.6965531392</v>
      </c>
      <c r="DI15" s="206">
        <f t="shared" si="173"/>
        <v>0</v>
      </c>
      <c r="DJ15" s="43" t="s">
        <v>8</v>
      </c>
      <c r="DK15" s="201" t="s">
        <v>8</v>
      </c>
      <c r="DL15" s="205">
        <f t="shared" si="174"/>
        <v>0.59011346654037466</v>
      </c>
      <c r="DM15" s="202">
        <f t="shared" si="175"/>
        <v>8.6125358982136357E-2</v>
      </c>
      <c r="DN15" s="188">
        <f t="shared" si="176"/>
        <v>1487982.6965531392</v>
      </c>
      <c r="DO15" s="206">
        <f t="shared" si="177"/>
        <v>0</v>
      </c>
      <c r="DP15" s="43" t="s">
        <v>8</v>
      </c>
      <c r="DQ15" s="201" t="s">
        <v>8</v>
      </c>
      <c r="DR15" s="205">
        <f t="shared" si="178"/>
        <v>0.59011346654037466</v>
      </c>
      <c r="DS15" s="202">
        <f t="shared" si="179"/>
        <v>8.6125358982136357E-2</v>
      </c>
      <c r="DT15" s="188">
        <f t="shared" si="180"/>
        <v>1487982.6965531392</v>
      </c>
      <c r="DU15" s="206">
        <f t="shared" si="181"/>
        <v>0</v>
      </c>
      <c r="DV15" s="43" t="s">
        <v>8</v>
      </c>
      <c r="DW15" s="201" t="s">
        <v>8</v>
      </c>
      <c r="DX15" s="205">
        <f t="shared" si="182"/>
        <v>0.59011346654037466</v>
      </c>
      <c r="DY15" s="202">
        <f t="shared" si="183"/>
        <v>8.6125358982136357E-2</v>
      </c>
      <c r="DZ15" s="193">
        <f t="shared" si="184"/>
        <v>1487982.6965531392</v>
      </c>
      <c r="EA15" s="203">
        <f t="shared" si="185"/>
        <v>0</v>
      </c>
      <c r="EB15" s="43" t="s">
        <v>8</v>
      </c>
      <c r="EC15" s="201" t="s">
        <v>8</v>
      </c>
      <c r="ED15" s="205">
        <f t="shared" si="186"/>
        <v>0.59011346654037466</v>
      </c>
      <c r="EE15" s="202">
        <f t="shared" si="187"/>
        <v>8.6125358982136357E-2</v>
      </c>
      <c r="EF15" s="193">
        <f t="shared" si="188"/>
        <v>1487982.6965531392</v>
      </c>
      <c r="EG15" s="203">
        <f t="shared" si="189"/>
        <v>0</v>
      </c>
      <c r="EH15" s="43" t="s">
        <v>8</v>
      </c>
      <c r="EI15" s="201" t="s">
        <v>8</v>
      </c>
      <c r="EJ15" s="205">
        <f t="shared" si="190"/>
        <v>0.59011346654037466</v>
      </c>
      <c r="EK15" s="202">
        <f t="shared" si="191"/>
        <v>8.6125358982136357E-2</v>
      </c>
      <c r="EL15" s="193">
        <f t="shared" si="192"/>
        <v>1487982.6965531392</v>
      </c>
      <c r="EM15" s="203">
        <f t="shared" si="193"/>
        <v>0</v>
      </c>
      <c r="EN15" s="43" t="s">
        <v>8</v>
      </c>
      <c r="EO15" s="201" t="s">
        <v>8</v>
      </c>
      <c r="EP15" s="205">
        <f t="shared" si="194"/>
        <v>0.59011346654037466</v>
      </c>
      <c r="EQ15" s="202">
        <f t="shared" si="195"/>
        <v>8.6125358982136357E-2</v>
      </c>
      <c r="ER15" s="193">
        <f t="shared" si="196"/>
        <v>1487982.6965531392</v>
      </c>
      <c r="ES15" s="203">
        <f t="shared" si="197"/>
        <v>0</v>
      </c>
      <c r="ET15" s="43" t="s">
        <v>8</v>
      </c>
      <c r="EU15" s="201" t="s">
        <v>8</v>
      </c>
      <c r="EV15" s="205">
        <f t="shared" si="198"/>
        <v>0.59011346654037466</v>
      </c>
      <c r="EW15" s="202">
        <f t="shared" si="199"/>
        <v>8.6125358982136357E-2</v>
      </c>
      <c r="EX15" s="193">
        <f t="shared" si="200"/>
        <v>1487982.6965531392</v>
      </c>
      <c r="EY15" s="203">
        <f t="shared" si="201"/>
        <v>0</v>
      </c>
      <c r="EZ15" s="43" t="s">
        <v>8</v>
      </c>
      <c r="FA15" s="201" t="s">
        <v>8</v>
      </c>
      <c r="FB15" s="205">
        <f t="shared" si="202"/>
        <v>0.59011346654037466</v>
      </c>
      <c r="FC15" s="202">
        <f t="shared" si="203"/>
        <v>8.6125358982136357E-2</v>
      </c>
      <c r="FD15" s="193">
        <f t="shared" si="204"/>
        <v>1487982.6965531392</v>
      </c>
      <c r="FE15" s="203">
        <f t="shared" si="205"/>
        <v>0</v>
      </c>
      <c r="FF15" s="43" t="s">
        <v>8</v>
      </c>
      <c r="FG15" s="201" t="s">
        <v>8</v>
      </c>
      <c r="FH15" s="205">
        <f t="shared" si="206"/>
        <v>0.59011346654037466</v>
      </c>
      <c r="FI15" s="202">
        <f t="shared" si="207"/>
        <v>8.6125358982136357E-2</v>
      </c>
      <c r="FJ15" s="193">
        <f t="shared" si="208"/>
        <v>1487982.6965531392</v>
      </c>
      <c r="FK15" s="203">
        <f t="shared" si="209"/>
        <v>0</v>
      </c>
      <c r="FL15" s="43" t="s">
        <v>8</v>
      </c>
      <c r="FM15" s="201" t="s">
        <v>8</v>
      </c>
      <c r="FN15" s="205">
        <f t="shared" si="210"/>
        <v>0.59011346654037466</v>
      </c>
      <c r="FO15" s="202">
        <f t="shared" si="211"/>
        <v>8.6125358982136357E-2</v>
      </c>
      <c r="FP15" s="193">
        <f t="shared" si="212"/>
        <v>1487982.6965531392</v>
      </c>
      <c r="FQ15" s="203">
        <f t="shared" si="213"/>
        <v>0</v>
      </c>
      <c r="FR15" s="43" t="s">
        <v>8</v>
      </c>
      <c r="FS15" s="201" t="s">
        <v>8</v>
      </c>
      <c r="FT15" s="205">
        <f t="shared" si="214"/>
        <v>0.59011346654037466</v>
      </c>
      <c r="FU15" s="202">
        <f t="shared" si="215"/>
        <v>8.6125358982136357E-2</v>
      </c>
      <c r="FV15" s="193">
        <f t="shared" si="216"/>
        <v>1487982.6965531392</v>
      </c>
      <c r="FW15" s="203">
        <f t="shared" si="217"/>
        <v>0</v>
      </c>
      <c r="FX15" s="43" t="s">
        <v>8</v>
      </c>
      <c r="FY15" s="201" t="s">
        <v>8</v>
      </c>
      <c r="FZ15" s="205">
        <f t="shared" si="218"/>
        <v>0.59011346654037466</v>
      </c>
      <c r="GA15" s="202">
        <f t="shared" si="219"/>
        <v>8.6125358982136357E-2</v>
      </c>
      <c r="GB15" s="193">
        <f t="shared" si="220"/>
        <v>1487982.6965531392</v>
      </c>
      <c r="GC15" s="203">
        <f t="shared" si="221"/>
        <v>0</v>
      </c>
      <c r="GD15" s="43" t="s">
        <v>8</v>
      </c>
      <c r="GE15" s="201" t="s">
        <v>8</v>
      </c>
      <c r="GF15" s="205">
        <f t="shared" si="222"/>
        <v>0.59011346654037466</v>
      </c>
      <c r="GG15" s="202">
        <f t="shared" si="223"/>
        <v>8.6125358982136357E-2</v>
      </c>
      <c r="GH15" s="193">
        <f t="shared" si="224"/>
        <v>1487982.6965531392</v>
      </c>
      <c r="GI15" s="206">
        <f t="shared" si="225"/>
        <v>0</v>
      </c>
      <c r="GJ15" s="158">
        <f t="shared" si="228"/>
        <v>0</v>
      </c>
      <c r="GK15" s="208">
        <f t="shared" si="226"/>
        <v>1483687.8878644069</v>
      </c>
      <c r="GL15" s="83">
        <f t="shared" si="227"/>
        <v>0.59011346654037466</v>
      </c>
    </row>
    <row r="16" spans="1:194" s="27" customFormat="1" ht="37.5">
      <c r="A16" s="170" t="s">
        <v>185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10">
        <f>'Исходные данные'!C18</f>
        <v>620</v>
      </c>
      <c r="H16" s="33">
        <f>'Исходные данные'!D18</f>
        <v>1105355</v>
      </c>
      <c r="I16" s="34">
        <f>'Расчет КРП'!G14</f>
        <v>3.5980392156862746</v>
      </c>
      <c r="J16" s="116" t="s">
        <v>8</v>
      </c>
      <c r="K16" s="120">
        <f t="shared" si="104"/>
        <v>0.29412804139667426</v>
      </c>
      <c r="L16" s="75">
        <f t="shared" si="105"/>
        <v>524151.84642503265</v>
      </c>
      <c r="M16" s="72">
        <f t="shared" si="106"/>
        <v>0.4336015643675255</v>
      </c>
      <c r="N16" s="32" t="s">
        <v>8</v>
      </c>
      <c r="O16" s="35">
        <f t="shared" si="107"/>
        <v>0.13199558752425322</v>
      </c>
      <c r="P16" s="36">
        <f t="shared" si="108"/>
        <v>744982.18327121891</v>
      </c>
      <c r="Q16" s="77">
        <f t="shared" si="109"/>
        <v>702130.62373942242</v>
      </c>
      <c r="R16" s="156" t="s">
        <v>8</v>
      </c>
      <c r="S16" s="32" t="s">
        <v>8</v>
      </c>
      <c r="T16" s="37">
        <f t="shared" si="110"/>
        <v>0.62043412509697582</v>
      </c>
      <c r="U16" s="35">
        <f t="shared" si="111"/>
        <v>5.5804700425535203E-2</v>
      </c>
      <c r="V16" s="52">
        <f t="shared" si="112"/>
        <v>348196.01884842676</v>
      </c>
      <c r="W16" s="77">
        <f t="shared" si="113"/>
        <v>0</v>
      </c>
      <c r="X16" s="74" t="s">
        <v>8</v>
      </c>
      <c r="Y16" s="32" t="s">
        <v>8</v>
      </c>
      <c r="Z16" s="37">
        <f t="shared" si="114"/>
        <v>0.62043412509697582</v>
      </c>
      <c r="AA16" s="35">
        <f t="shared" si="115"/>
        <v>5.5804700425535203E-2</v>
      </c>
      <c r="AB16" s="52">
        <f t="shared" si="116"/>
        <v>348196.01884842676</v>
      </c>
      <c r="AC16" s="77">
        <f t="shared" si="117"/>
        <v>0</v>
      </c>
      <c r="AD16" s="74" t="s">
        <v>8</v>
      </c>
      <c r="AE16" s="32" t="s">
        <v>8</v>
      </c>
      <c r="AF16" s="37">
        <f t="shared" si="118"/>
        <v>0.62043412509697582</v>
      </c>
      <c r="AG16" s="35">
        <f t="shared" si="119"/>
        <v>5.5804700425535203E-2</v>
      </c>
      <c r="AH16" s="52">
        <f t="shared" si="120"/>
        <v>348196.01884842676</v>
      </c>
      <c r="AI16" s="77">
        <f t="shared" si="121"/>
        <v>0</v>
      </c>
      <c r="AJ16" s="74" t="s">
        <v>8</v>
      </c>
      <c r="AK16" s="32" t="s">
        <v>8</v>
      </c>
      <c r="AL16" s="37">
        <f t="shared" si="122"/>
        <v>0.62043412509697582</v>
      </c>
      <c r="AM16" s="35">
        <f t="shared" si="123"/>
        <v>5.5804700425535203E-2</v>
      </c>
      <c r="AN16" s="52">
        <f t="shared" si="124"/>
        <v>348196.01884842676</v>
      </c>
      <c r="AO16" s="77">
        <f t="shared" si="125"/>
        <v>0</v>
      </c>
      <c r="AP16" s="74" t="s">
        <v>8</v>
      </c>
      <c r="AQ16" s="32" t="s">
        <v>8</v>
      </c>
      <c r="AR16" s="37">
        <f t="shared" si="126"/>
        <v>0.62043412509697582</v>
      </c>
      <c r="AS16" s="35">
        <f t="shared" si="127"/>
        <v>5.5804700425535203E-2</v>
      </c>
      <c r="AT16" s="52">
        <f t="shared" si="128"/>
        <v>348196.01884842676</v>
      </c>
      <c r="AU16" s="77">
        <f t="shared" si="129"/>
        <v>0</v>
      </c>
      <c r="AV16" s="74" t="s">
        <v>8</v>
      </c>
      <c r="AW16" s="32" t="s">
        <v>8</v>
      </c>
      <c r="AX16" s="37">
        <f t="shared" si="130"/>
        <v>0.62043412509697582</v>
      </c>
      <c r="AY16" s="35">
        <f t="shared" si="131"/>
        <v>5.5804700425535203E-2</v>
      </c>
      <c r="AZ16" s="52">
        <f t="shared" si="132"/>
        <v>348196.01884842676</v>
      </c>
      <c r="BA16" s="77">
        <f t="shared" si="133"/>
        <v>0</v>
      </c>
      <c r="BB16" s="74" t="s">
        <v>8</v>
      </c>
      <c r="BC16" s="32" t="s">
        <v>8</v>
      </c>
      <c r="BD16" s="37">
        <f t="shared" si="134"/>
        <v>0.62043412509697582</v>
      </c>
      <c r="BE16" s="35">
        <f t="shared" si="135"/>
        <v>5.5804700425535203E-2</v>
      </c>
      <c r="BF16" s="52">
        <f t="shared" si="136"/>
        <v>348196.01884842676</v>
      </c>
      <c r="BG16" s="77">
        <f t="shared" si="137"/>
        <v>0</v>
      </c>
      <c r="BH16" s="74" t="s">
        <v>8</v>
      </c>
      <c r="BI16" s="32" t="s">
        <v>8</v>
      </c>
      <c r="BJ16" s="37">
        <f t="shared" si="138"/>
        <v>0.62043412509697582</v>
      </c>
      <c r="BK16" s="35">
        <f t="shared" si="139"/>
        <v>5.5804700425535203E-2</v>
      </c>
      <c r="BL16" s="52">
        <f t="shared" si="140"/>
        <v>348196.01884842676</v>
      </c>
      <c r="BM16" s="77">
        <f t="shared" si="141"/>
        <v>0</v>
      </c>
      <c r="BN16" s="74" t="s">
        <v>8</v>
      </c>
      <c r="BO16" s="32" t="s">
        <v>8</v>
      </c>
      <c r="BP16" s="37">
        <f t="shared" si="142"/>
        <v>0.62043412509697582</v>
      </c>
      <c r="BQ16" s="35">
        <f t="shared" si="143"/>
        <v>5.5804700425535203E-2</v>
      </c>
      <c r="BR16" s="52">
        <f t="shared" si="144"/>
        <v>348196.01884842676</v>
      </c>
      <c r="BS16" s="132">
        <f t="shared" si="145"/>
        <v>0</v>
      </c>
      <c r="BT16" s="74" t="s">
        <v>8</v>
      </c>
      <c r="BU16" s="32" t="s">
        <v>8</v>
      </c>
      <c r="BV16" s="37">
        <f t="shared" si="146"/>
        <v>0.62043412509697582</v>
      </c>
      <c r="BW16" s="35">
        <f t="shared" si="147"/>
        <v>5.5804700425535203E-2</v>
      </c>
      <c r="BX16" s="52">
        <f t="shared" si="148"/>
        <v>348196.01884842676</v>
      </c>
      <c r="BY16" s="132">
        <f t="shared" si="149"/>
        <v>0</v>
      </c>
      <c r="BZ16" s="74" t="s">
        <v>8</v>
      </c>
      <c r="CA16" s="32" t="s">
        <v>8</v>
      </c>
      <c r="CB16" s="37">
        <f t="shared" si="150"/>
        <v>0.62043412509697582</v>
      </c>
      <c r="CC16" s="35">
        <f t="shared" si="151"/>
        <v>5.5804700425535203E-2</v>
      </c>
      <c r="CD16" s="52">
        <f t="shared" si="152"/>
        <v>348196.01884842676</v>
      </c>
      <c r="CE16" s="132">
        <f t="shared" si="153"/>
        <v>0</v>
      </c>
      <c r="CF16" s="74" t="s">
        <v>8</v>
      </c>
      <c r="CG16" s="32" t="s">
        <v>8</v>
      </c>
      <c r="CH16" s="37">
        <f t="shared" si="154"/>
        <v>0.62043412509697582</v>
      </c>
      <c r="CI16" s="35">
        <f t="shared" si="155"/>
        <v>5.5804700425535203E-2</v>
      </c>
      <c r="CJ16" s="52">
        <f t="shared" si="156"/>
        <v>348196.01884842676</v>
      </c>
      <c r="CK16" s="132">
        <f t="shared" si="157"/>
        <v>0</v>
      </c>
      <c r="CL16" s="74" t="s">
        <v>8</v>
      </c>
      <c r="CM16" s="32" t="s">
        <v>8</v>
      </c>
      <c r="CN16" s="37">
        <f t="shared" si="158"/>
        <v>0.62043412509697582</v>
      </c>
      <c r="CO16" s="35">
        <f t="shared" si="159"/>
        <v>5.5804700425535203E-2</v>
      </c>
      <c r="CP16" s="52">
        <f t="shared" si="160"/>
        <v>348196.01884842676</v>
      </c>
      <c r="CQ16" s="132">
        <f t="shared" si="161"/>
        <v>0</v>
      </c>
      <c r="CR16" s="74" t="s">
        <v>8</v>
      </c>
      <c r="CS16" s="32" t="s">
        <v>8</v>
      </c>
      <c r="CT16" s="37">
        <f t="shared" si="162"/>
        <v>0.62043412509697582</v>
      </c>
      <c r="CU16" s="35">
        <f t="shared" si="163"/>
        <v>5.5804700425535203E-2</v>
      </c>
      <c r="CV16" s="52">
        <f t="shared" si="164"/>
        <v>348196.01884842676</v>
      </c>
      <c r="CW16" s="132">
        <f t="shared" si="165"/>
        <v>0</v>
      </c>
      <c r="CX16" s="74" t="s">
        <v>8</v>
      </c>
      <c r="CY16" s="32" t="s">
        <v>8</v>
      </c>
      <c r="CZ16" s="37">
        <f t="shared" si="166"/>
        <v>0.62043412509697582</v>
      </c>
      <c r="DA16" s="35">
        <f t="shared" si="167"/>
        <v>5.5804700425535203E-2</v>
      </c>
      <c r="DB16" s="52">
        <f t="shared" si="168"/>
        <v>348196.01884842676</v>
      </c>
      <c r="DC16" s="132">
        <f t="shared" si="169"/>
        <v>0</v>
      </c>
      <c r="DD16" s="74" t="s">
        <v>8</v>
      </c>
      <c r="DE16" s="32" t="s">
        <v>8</v>
      </c>
      <c r="DF16" s="37">
        <f t="shared" si="170"/>
        <v>0.62043412509697582</v>
      </c>
      <c r="DG16" s="35">
        <f t="shared" si="171"/>
        <v>5.5804700425535203E-2</v>
      </c>
      <c r="DH16" s="52">
        <f t="shared" si="172"/>
        <v>348196.01884842676</v>
      </c>
      <c r="DI16" s="132">
        <f t="shared" si="173"/>
        <v>0</v>
      </c>
      <c r="DJ16" s="74" t="s">
        <v>8</v>
      </c>
      <c r="DK16" s="32" t="s">
        <v>8</v>
      </c>
      <c r="DL16" s="37">
        <f t="shared" si="174"/>
        <v>0.62043412509697582</v>
      </c>
      <c r="DM16" s="35">
        <f t="shared" si="175"/>
        <v>5.5804700425535203E-2</v>
      </c>
      <c r="DN16" s="52">
        <f t="shared" si="176"/>
        <v>348196.01884842676</v>
      </c>
      <c r="DO16" s="132">
        <f t="shared" si="177"/>
        <v>0</v>
      </c>
      <c r="DP16" s="74" t="s">
        <v>8</v>
      </c>
      <c r="DQ16" s="32" t="s">
        <v>8</v>
      </c>
      <c r="DR16" s="37">
        <f t="shared" si="178"/>
        <v>0.62043412509697582</v>
      </c>
      <c r="DS16" s="35">
        <f t="shared" si="179"/>
        <v>5.5804700425535203E-2</v>
      </c>
      <c r="DT16" s="52">
        <f t="shared" si="180"/>
        <v>348196.01884842676</v>
      </c>
      <c r="DU16" s="132">
        <f t="shared" si="181"/>
        <v>0</v>
      </c>
      <c r="DV16" s="74" t="s">
        <v>8</v>
      </c>
      <c r="DW16" s="32" t="s">
        <v>8</v>
      </c>
      <c r="DX16" s="37">
        <f t="shared" si="182"/>
        <v>0.62043412509697582</v>
      </c>
      <c r="DY16" s="35">
        <f t="shared" si="183"/>
        <v>5.5804700425535203E-2</v>
      </c>
      <c r="DZ16" s="36">
        <f t="shared" si="184"/>
        <v>348196.01884842676</v>
      </c>
      <c r="EA16" s="77">
        <f t="shared" si="185"/>
        <v>0</v>
      </c>
      <c r="EB16" s="74" t="s">
        <v>8</v>
      </c>
      <c r="EC16" s="32" t="s">
        <v>8</v>
      </c>
      <c r="ED16" s="37">
        <f t="shared" si="186"/>
        <v>0.62043412509697582</v>
      </c>
      <c r="EE16" s="35">
        <f t="shared" si="187"/>
        <v>5.5804700425535203E-2</v>
      </c>
      <c r="EF16" s="36">
        <f t="shared" si="188"/>
        <v>348196.01884842676</v>
      </c>
      <c r="EG16" s="77">
        <f t="shared" si="189"/>
        <v>0</v>
      </c>
      <c r="EH16" s="74" t="s">
        <v>8</v>
      </c>
      <c r="EI16" s="32" t="s">
        <v>8</v>
      </c>
      <c r="EJ16" s="37">
        <f t="shared" si="190"/>
        <v>0.62043412509697582</v>
      </c>
      <c r="EK16" s="35">
        <f t="shared" si="191"/>
        <v>5.5804700425535203E-2</v>
      </c>
      <c r="EL16" s="36">
        <f t="shared" si="192"/>
        <v>348196.01884842676</v>
      </c>
      <c r="EM16" s="77">
        <f t="shared" si="193"/>
        <v>0</v>
      </c>
      <c r="EN16" s="74" t="s">
        <v>8</v>
      </c>
      <c r="EO16" s="32" t="s">
        <v>8</v>
      </c>
      <c r="EP16" s="37">
        <f t="shared" si="194"/>
        <v>0.62043412509697582</v>
      </c>
      <c r="EQ16" s="35">
        <f t="shared" si="195"/>
        <v>5.5804700425535203E-2</v>
      </c>
      <c r="ER16" s="36">
        <f t="shared" si="196"/>
        <v>348196.01884842676</v>
      </c>
      <c r="ES16" s="77">
        <f t="shared" si="197"/>
        <v>0</v>
      </c>
      <c r="ET16" s="74" t="s">
        <v>8</v>
      </c>
      <c r="EU16" s="32" t="s">
        <v>8</v>
      </c>
      <c r="EV16" s="37">
        <f t="shared" si="198"/>
        <v>0.62043412509697582</v>
      </c>
      <c r="EW16" s="35">
        <f t="shared" si="199"/>
        <v>5.5804700425535203E-2</v>
      </c>
      <c r="EX16" s="36">
        <f t="shared" si="200"/>
        <v>348196.01884842676</v>
      </c>
      <c r="EY16" s="77">
        <f t="shared" si="201"/>
        <v>0</v>
      </c>
      <c r="EZ16" s="74" t="s">
        <v>8</v>
      </c>
      <c r="FA16" s="32" t="s">
        <v>8</v>
      </c>
      <c r="FB16" s="37">
        <f t="shared" si="202"/>
        <v>0.62043412509697582</v>
      </c>
      <c r="FC16" s="35">
        <f t="shared" si="203"/>
        <v>5.5804700425535203E-2</v>
      </c>
      <c r="FD16" s="36">
        <f t="shared" si="204"/>
        <v>348196.01884842676</v>
      </c>
      <c r="FE16" s="77">
        <f t="shared" si="205"/>
        <v>0</v>
      </c>
      <c r="FF16" s="74" t="s">
        <v>8</v>
      </c>
      <c r="FG16" s="32" t="s">
        <v>8</v>
      </c>
      <c r="FH16" s="37">
        <f t="shared" si="206"/>
        <v>0.62043412509697582</v>
      </c>
      <c r="FI16" s="35">
        <f t="shared" si="207"/>
        <v>5.5804700425535203E-2</v>
      </c>
      <c r="FJ16" s="36">
        <f t="shared" si="208"/>
        <v>348196.01884842676</v>
      </c>
      <c r="FK16" s="77">
        <f t="shared" si="209"/>
        <v>0</v>
      </c>
      <c r="FL16" s="74" t="s">
        <v>8</v>
      </c>
      <c r="FM16" s="32" t="s">
        <v>8</v>
      </c>
      <c r="FN16" s="37">
        <f t="shared" si="210"/>
        <v>0.62043412509697582</v>
      </c>
      <c r="FO16" s="35">
        <f t="shared" si="211"/>
        <v>5.5804700425535203E-2</v>
      </c>
      <c r="FP16" s="36">
        <f t="shared" si="212"/>
        <v>348196.01884842676</v>
      </c>
      <c r="FQ16" s="77">
        <f t="shared" si="213"/>
        <v>0</v>
      </c>
      <c r="FR16" s="74" t="s">
        <v>8</v>
      </c>
      <c r="FS16" s="32" t="s">
        <v>8</v>
      </c>
      <c r="FT16" s="37">
        <f t="shared" si="214"/>
        <v>0.62043412509697582</v>
      </c>
      <c r="FU16" s="35">
        <f t="shared" si="215"/>
        <v>5.5804700425535203E-2</v>
      </c>
      <c r="FV16" s="36">
        <f t="shared" si="216"/>
        <v>348196.01884842676</v>
      </c>
      <c r="FW16" s="77">
        <f t="shared" si="217"/>
        <v>0</v>
      </c>
      <c r="FX16" s="74" t="s">
        <v>8</v>
      </c>
      <c r="FY16" s="32" t="s">
        <v>8</v>
      </c>
      <c r="FZ16" s="37">
        <f t="shared" si="218"/>
        <v>0.62043412509697582</v>
      </c>
      <c r="GA16" s="35">
        <f t="shared" si="219"/>
        <v>5.5804700425535203E-2</v>
      </c>
      <c r="GB16" s="36">
        <f t="shared" si="220"/>
        <v>348196.01884842676</v>
      </c>
      <c r="GC16" s="77">
        <f t="shared" si="221"/>
        <v>0</v>
      </c>
      <c r="GD16" s="74" t="s">
        <v>8</v>
      </c>
      <c r="GE16" s="32" t="s">
        <v>8</v>
      </c>
      <c r="GF16" s="37">
        <f t="shared" si="222"/>
        <v>0.62043412509697582</v>
      </c>
      <c r="GG16" s="35">
        <f t="shared" si="223"/>
        <v>5.5804700425535203E-2</v>
      </c>
      <c r="GH16" s="36">
        <f t="shared" si="224"/>
        <v>348196.01884842676</v>
      </c>
      <c r="GI16" s="132">
        <f t="shared" si="225"/>
        <v>0</v>
      </c>
      <c r="GJ16" s="158">
        <f t="shared" si="228"/>
        <v>702130.62373942242</v>
      </c>
      <c r="GK16" s="102">
        <f t="shared" si="226"/>
        <v>1226282.470164455</v>
      </c>
      <c r="GL16" s="83">
        <f t="shared" si="227"/>
        <v>0.62043412509697582</v>
      </c>
    </row>
    <row r="17" spans="1:195" s="27" customFormat="1" ht="37.5">
      <c r="A17" s="170" t="s">
        <v>186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10">
        <f>'Исходные данные'!C19</f>
        <v>2672</v>
      </c>
      <c r="H17" s="33">
        <f>'Исходные данные'!D19</f>
        <v>4021330</v>
      </c>
      <c r="I17" s="34">
        <f>'Расчет КРП'!G15</f>
        <v>2.6274509803921569</v>
      </c>
      <c r="J17" s="116" t="s">
        <v>8</v>
      </c>
      <c r="K17" s="120">
        <f t="shared" si="104"/>
        <v>0.34000935833712809</v>
      </c>
      <c r="L17" s="75">
        <f t="shared" si="105"/>
        <v>2258925.3768511084</v>
      </c>
      <c r="M17" s="72">
        <f t="shared" si="106"/>
        <v>0.5310048170322863</v>
      </c>
      <c r="N17" s="32" t="s">
        <v>8</v>
      </c>
      <c r="O17" s="35">
        <f t="shared" si="107"/>
        <v>3.4592334859492424E-2</v>
      </c>
      <c r="P17" s="36">
        <f t="shared" si="108"/>
        <v>614440.51348847605</v>
      </c>
      <c r="Q17" s="77">
        <f t="shared" si="109"/>
        <v>579097.74310585414</v>
      </c>
      <c r="R17" s="156" t="s">
        <v>8</v>
      </c>
      <c r="S17" s="32" t="s">
        <v>8</v>
      </c>
      <c r="T17" s="37">
        <f t="shared" si="110"/>
        <v>0.57996838183495114</v>
      </c>
      <c r="U17" s="35">
        <f t="shared" si="111"/>
        <v>9.6270443687559881E-2</v>
      </c>
      <c r="V17" s="52">
        <f t="shared" si="112"/>
        <v>1890425.1550701582</v>
      </c>
      <c r="W17" s="77">
        <f t="shared" si="113"/>
        <v>0</v>
      </c>
      <c r="X17" s="74" t="s">
        <v>8</v>
      </c>
      <c r="Y17" s="32" t="s">
        <v>8</v>
      </c>
      <c r="Z17" s="37">
        <f t="shared" si="114"/>
        <v>0.57996838183495114</v>
      </c>
      <c r="AA17" s="35">
        <f t="shared" si="115"/>
        <v>9.6270443687559881E-2</v>
      </c>
      <c r="AB17" s="52">
        <f t="shared" si="116"/>
        <v>1890425.1550701582</v>
      </c>
      <c r="AC17" s="77">
        <f t="shared" si="117"/>
        <v>0</v>
      </c>
      <c r="AD17" s="74" t="s">
        <v>8</v>
      </c>
      <c r="AE17" s="32" t="s">
        <v>8</v>
      </c>
      <c r="AF17" s="37">
        <f t="shared" si="118"/>
        <v>0.57996838183495114</v>
      </c>
      <c r="AG17" s="35">
        <f t="shared" si="119"/>
        <v>9.6270443687559881E-2</v>
      </c>
      <c r="AH17" s="52">
        <f t="shared" si="120"/>
        <v>1890425.1550701582</v>
      </c>
      <c r="AI17" s="77">
        <f t="shared" si="121"/>
        <v>0</v>
      </c>
      <c r="AJ17" s="74" t="s">
        <v>8</v>
      </c>
      <c r="AK17" s="32" t="s">
        <v>8</v>
      </c>
      <c r="AL17" s="37">
        <f t="shared" si="122"/>
        <v>0.57996838183495114</v>
      </c>
      <c r="AM17" s="35">
        <f t="shared" si="123"/>
        <v>9.6270443687559881E-2</v>
      </c>
      <c r="AN17" s="52">
        <f t="shared" si="124"/>
        <v>1890425.1550701582</v>
      </c>
      <c r="AO17" s="77">
        <f t="shared" si="125"/>
        <v>0</v>
      </c>
      <c r="AP17" s="74" t="s">
        <v>8</v>
      </c>
      <c r="AQ17" s="32" t="s">
        <v>8</v>
      </c>
      <c r="AR17" s="37">
        <f t="shared" si="126"/>
        <v>0.57996838183495114</v>
      </c>
      <c r="AS17" s="35">
        <f t="shared" si="127"/>
        <v>9.6270443687559881E-2</v>
      </c>
      <c r="AT17" s="52">
        <f t="shared" si="128"/>
        <v>1890425.1550701582</v>
      </c>
      <c r="AU17" s="77">
        <f t="shared" si="129"/>
        <v>0</v>
      </c>
      <c r="AV17" s="74" t="s">
        <v>8</v>
      </c>
      <c r="AW17" s="32" t="s">
        <v>8</v>
      </c>
      <c r="AX17" s="37">
        <f t="shared" si="130"/>
        <v>0.57996838183495114</v>
      </c>
      <c r="AY17" s="35">
        <f t="shared" si="131"/>
        <v>9.6270443687559881E-2</v>
      </c>
      <c r="AZ17" s="52">
        <f t="shared" si="132"/>
        <v>1890425.1550701582</v>
      </c>
      <c r="BA17" s="77">
        <f t="shared" si="133"/>
        <v>0</v>
      </c>
      <c r="BB17" s="74" t="s">
        <v>8</v>
      </c>
      <c r="BC17" s="32" t="s">
        <v>8</v>
      </c>
      <c r="BD17" s="37">
        <f t="shared" si="134"/>
        <v>0.57996838183495114</v>
      </c>
      <c r="BE17" s="35">
        <f t="shared" si="135"/>
        <v>9.6270443687559881E-2</v>
      </c>
      <c r="BF17" s="52">
        <f t="shared" si="136"/>
        <v>1890425.1550701582</v>
      </c>
      <c r="BG17" s="77">
        <f t="shared" si="137"/>
        <v>0</v>
      </c>
      <c r="BH17" s="74" t="s">
        <v>8</v>
      </c>
      <c r="BI17" s="32" t="s">
        <v>8</v>
      </c>
      <c r="BJ17" s="37">
        <f t="shared" si="138"/>
        <v>0.57996838183495114</v>
      </c>
      <c r="BK17" s="35">
        <f t="shared" si="139"/>
        <v>9.6270443687559881E-2</v>
      </c>
      <c r="BL17" s="52">
        <f t="shared" si="140"/>
        <v>1890425.1550701582</v>
      </c>
      <c r="BM17" s="77">
        <f t="shared" si="141"/>
        <v>0</v>
      </c>
      <c r="BN17" s="74" t="s">
        <v>8</v>
      </c>
      <c r="BO17" s="32" t="s">
        <v>8</v>
      </c>
      <c r="BP17" s="37">
        <f t="shared" si="142"/>
        <v>0.57996838183495114</v>
      </c>
      <c r="BQ17" s="35">
        <f t="shared" si="143"/>
        <v>9.6270443687559881E-2</v>
      </c>
      <c r="BR17" s="52">
        <f t="shared" si="144"/>
        <v>1890425.1550701582</v>
      </c>
      <c r="BS17" s="132">
        <f t="shared" si="145"/>
        <v>0</v>
      </c>
      <c r="BT17" s="74" t="s">
        <v>8</v>
      </c>
      <c r="BU17" s="32" t="s">
        <v>8</v>
      </c>
      <c r="BV17" s="37">
        <f t="shared" si="146"/>
        <v>0.57996838183495114</v>
      </c>
      <c r="BW17" s="35">
        <f t="shared" si="147"/>
        <v>9.6270443687559881E-2</v>
      </c>
      <c r="BX17" s="52">
        <f t="shared" si="148"/>
        <v>1890425.1550701582</v>
      </c>
      <c r="BY17" s="132">
        <f t="shared" si="149"/>
        <v>0</v>
      </c>
      <c r="BZ17" s="74" t="s">
        <v>8</v>
      </c>
      <c r="CA17" s="32" t="s">
        <v>8</v>
      </c>
      <c r="CB17" s="37">
        <f t="shared" si="150"/>
        <v>0.57996838183495114</v>
      </c>
      <c r="CC17" s="35">
        <f t="shared" si="151"/>
        <v>9.6270443687559881E-2</v>
      </c>
      <c r="CD17" s="52">
        <f t="shared" si="152"/>
        <v>1890425.1550701582</v>
      </c>
      <c r="CE17" s="132">
        <f t="shared" si="153"/>
        <v>0</v>
      </c>
      <c r="CF17" s="74" t="s">
        <v>8</v>
      </c>
      <c r="CG17" s="32" t="s">
        <v>8</v>
      </c>
      <c r="CH17" s="37">
        <f t="shared" si="154"/>
        <v>0.57996838183495114</v>
      </c>
      <c r="CI17" s="35">
        <f t="shared" si="155"/>
        <v>9.6270443687559881E-2</v>
      </c>
      <c r="CJ17" s="52">
        <f t="shared" si="156"/>
        <v>1890425.1550701582</v>
      </c>
      <c r="CK17" s="132">
        <f t="shared" si="157"/>
        <v>0</v>
      </c>
      <c r="CL17" s="74" t="s">
        <v>8</v>
      </c>
      <c r="CM17" s="32" t="s">
        <v>8</v>
      </c>
      <c r="CN17" s="37">
        <f t="shared" si="158"/>
        <v>0.57996838183495114</v>
      </c>
      <c r="CO17" s="35">
        <f t="shared" si="159"/>
        <v>9.6270443687559881E-2</v>
      </c>
      <c r="CP17" s="52">
        <f t="shared" si="160"/>
        <v>1890425.1550701582</v>
      </c>
      <c r="CQ17" s="132">
        <f t="shared" si="161"/>
        <v>0</v>
      </c>
      <c r="CR17" s="74" t="s">
        <v>8</v>
      </c>
      <c r="CS17" s="32" t="s">
        <v>8</v>
      </c>
      <c r="CT17" s="37">
        <f t="shared" si="162"/>
        <v>0.57996838183495114</v>
      </c>
      <c r="CU17" s="35">
        <f t="shared" si="163"/>
        <v>9.6270443687559881E-2</v>
      </c>
      <c r="CV17" s="52">
        <f t="shared" si="164"/>
        <v>1890425.1550701582</v>
      </c>
      <c r="CW17" s="132">
        <f t="shared" si="165"/>
        <v>0</v>
      </c>
      <c r="CX17" s="74" t="s">
        <v>8</v>
      </c>
      <c r="CY17" s="32" t="s">
        <v>8</v>
      </c>
      <c r="CZ17" s="37">
        <f t="shared" si="166"/>
        <v>0.57996838183495114</v>
      </c>
      <c r="DA17" s="35">
        <f t="shared" si="167"/>
        <v>9.6270443687559881E-2</v>
      </c>
      <c r="DB17" s="52">
        <f t="shared" si="168"/>
        <v>1890425.1550701582</v>
      </c>
      <c r="DC17" s="132">
        <f t="shared" si="169"/>
        <v>0</v>
      </c>
      <c r="DD17" s="74" t="s">
        <v>8</v>
      </c>
      <c r="DE17" s="32" t="s">
        <v>8</v>
      </c>
      <c r="DF17" s="37">
        <f t="shared" si="170"/>
        <v>0.57996838183495114</v>
      </c>
      <c r="DG17" s="35">
        <f t="shared" si="171"/>
        <v>9.6270443687559881E-2</v>
      </c>
      <c r="DH17" s="52">
        <f t="shared" si="172"/>
        <v>1890425.1550701582</v>
      </c>
      <c r="DI17" s="132">
        <f t="shared" si="173"/>
        <v>0</v>
      </c>
      <c r="DJ17" s="74" t="s">
        <v>8</v>
      </c>
      <c r="DK17" s="32" t="s">
        <v>8</v>
      </c>
      <c r="DL17" s="37">
        <f t="shared" si="174"/>
        <v>0.57996838183495114</v>
      </c>
      <c r="DM17" s="35">
        <f t="shared" si="175"/>
        <v>9.6270443687559881E-2</v>
      </c>
      <c r="DN17" s="52">
        <f t="shared" si="176"/>
        <v>1890425.1550701582</v>
      </c>
      <c r="DO17" s="132">
        <f t="shared" si="177"/>
        <v>0</v>
      </c>
      <c r="DP17" s="74" t="s">
        <v>8</v>
      </c>
      <c r="DQ17" s="32" t="s">
        <v>8</v>
      </c>
      <c r="DR17" s="37">
        <f t="shared" si="178"/>
        <v>0.57996838183495114</v>
      </c>
      <c r="DS17" s="35">
        <f t="shared" si="179"/>
        <v>9.6270443687559881E-2</v>
      </c>
      <c r="DT17" s="52">
        <f t="shared" si="180"/>
        <v>1890425.1550701582</v>
      </c>
      <c r="DU17" s="132">
        <f t="shared" si="181"/>
        <v>0</v>
      </c>
      <c r="DV17" s="74" t="s">
        <v>8</v>
      </c>
      <c r="DW17" s="32" t="s">
        <v>8</v>
      </c>
      <c r="DX17" s="37">
        <f t="shared" si="182"/>
        <v>0.57996838183495114</v>
      </c>
      <c r="DY17" s="35">
        <f t="shared" si="183"/>
        <v>9.6270443687559881E-2</v>
      </c>
      <c r="DZ17" s="36">
        <f t="shared" si="184"/>
        <v>1890425.1550701582</v>
      </c>
      <c r="EA17" s="77">
        <f t="shared" si="185"/>
        <v>0</v>
      </c>
      <c r="EB17" s="74" t="s">
        <v>8</v>
      </c>
      <c r="EC17" s="32" t="s">
        <v>8</v>
      </c>
      <c r="ED17" s="37">
        <f t="shared" si="186"/>
        <v>0.57996838183495114</v>
      </c>
      <c r="EE17" s="35">
        <f t="shared" si="187"/>
        <v>9.6270443687559881E-2</v>
      </c>
      <c r="EF17" s="36">
        <f t="shared" si="188"/>
        <v>1890425.1550701582</v>
      </c>
      <c r="EG17" s="77">
        <f t="shared" si="189"/>
        <v>0</v>
      </c>
      <c r="EH17" s="74" t="s">
        <v>8</v>
      </c>
      <c r="EI17" s="32" t="s">
        <v>8</v>
      </c>
      <c r="EJ17" s="37">
        <f t="shared" si="190"/>
        <v>0.57996838183495114</v>
      </c>
      <c r="EK17" s="35">
        <f t="shared" si="191"/>
        <v>9.6270443687559881E-2</v>
      </c>
      <c r="EL17" s="36">
        <f t="shared" si="192"/>
        <v>1890425.1550701582</v>
      </c>
      <c r="EM17" s="77">
        <f t="shared" si="193"/>
        <v>0</v>
      </c>
      <c r="EN17" s="74" t="s">
        <v>8</v>
      </c>
      <c r="EO17" s="32" t="s">
        <v>8</v>
      </c>
      <c r="EP17" s="37">
        <f t="shared" si="194"/>
        <v>0.57996838183495114</v>
      </c>
      <c r="EQ17" s="35">
        <f t="shared" si="195"/>
        <v>9.6270443687559881E-2</v>
      </c>
      <c r="ER17" s="36">
        <f t="shared" si="196"/>
        <v>1890425.1550701582</v>
      </c>
      <c r="ES17" s="77">
        <f t="shared" si="197"/>
        <v>0</v>
      </c>
      <c r="ET17" s="74" t="s">
        <v>8</v>
      </c>
      <c r="EU17" s="32" t="s">
        <v>8</v>
      </c>
      <c r="EV17" s="37">
        <f t="shared" si="198"/>
        <v>0.57996838183495114</v>
      </c>
      <c r="EW17" s="35">
        <f t="shared" si="199"/>
        <v>9.6270443687559881E-2</v>
      </c>
      <c r="EX17" s="36">
        <f t="shared" si="200"/>
        <v>1890425.1550701582</v>
      </c>
      <c r="EY17" s="77">
        <f t="shared" si="201"/>
        <v>0</v>
      </c>
      <c r="EZ17" s="74" t="s">
        <v>8</v>
      </c>
      <c r="FA17" s="32" t="s">
        <v>8</v>
      </c>
      <c r="FB17" s="37">
        <f t="shared" si="202"/>
        <v>0.57996838183495114</v>
      </c>
      <c r="FC17" s="35">
        <f t="shared" si="203"/>
        <v>9.6270443687559881E-2</v>
      </c>
      <c r="FD17" s="36">
        <f t="shared" si="204"/>
        <v>1890425.1550701582</v>
      </c>
      <c r="FE17" s="77">
        <f t="shared" si="205"/>
        <v>0</v>
      </c>
      <c r="FF17" s="74" t="s">
        <v>8</v>
      </c>
      <c r="FG17" s="32" t="s">
        <v>8</v>
      </c>
      <c r="FH17" s="37">
        <f t="shared" si="206"/>
        <v>0.57996838183495114</v>
      </c>
      <c r="FI17" s="35">
        <f t="shared" si="207"/>
        <v>9.6270443687559881E-2</v>
      </c>
      <c r="FJ17" s="36">
        <f t="shared" si="208"/>
        <v>1890425.1550701582</v>
      </c>
      <c r="FK17" s="77">
        <f t="shared" si="209"/>
        <v>0</v>
      </c>
      <c r="FL17" s="74" t="s">
        <v>8</v>
      </c>
      <c r="FM17" s="32" t="s">
        <v>8</v>
      </c>
      <c r="FN17" s="37">
        <f t="shared" si="210"/>
        <v>0.57996838183495114</v>
      </c>
      <c r="FO17" s="35">
        <f t="shared" si="211"/>
        <v>9.6270443687559881E-2</v>
      </c>
      <c r="FP17" s="36">
        <f t="shared" si="212"/>
        <v>1890425.1550701582</v>
      </c>
      <c r="FQ17" s="77">
        <f t="shared" si="213"/>
        <v>0</v>
      </c>
      <c r="FR17" s="74" t="s">
        <v>8</v>
      </c>
      <c r="FS17" s="32" t="s">
        <v>8</v>
      </c>
      <c r="FT17" s="37">
        <f t="shared" si="214"/>
        <v>0.57996838183495114</v>
      </c>
      <c r="FU17" s="35">
        <f t="shared" si="215"/>
        <v>9.6270443687559881E-2</v>
      </c>
      <c r="FV17" s="36">
        <f t="shared" si="216"/>
        <v>1890425.1550701582</v>
      </c>
      <c r="FW17" s="77">
        <f t="shared" si="217"/>
        <v>0</v>
      </c>
      <c r="FX17" s="74" t="s">
        <v>8</v>
      </c>
      <c r="FY17" s="32" t="s">
        <v>8</v>
      </c>
      <c r="FZ17" s="37">
        <f t="shared" si="218"/>
        <v>0.57996838183495114</v>
      </c>
      <c r="GA17" s="35">
        <f t="shared" si="219"/>
        <v>9.6270443687559881E-2</v>
      </c>
      <c r="GB17" s="36">
        <f t="shared" si="220"/>
        <v>1890425.1550701582</v>
      </c>
      <c r="GC17" s="77">
        <f t="shared" si="221"/>
        <v>0</v>
      </c>
      <c r="GD17" s="74" t="s">
        <v>8</v>
      </c>
      <c r="GE17" s="32" t="s">
        <v>8</v>
      </c>
      <c r="GF17" s="37">
        <f t="shared" si="222"/>
        <v>0.57996838183495114</v>
      </c>
      <c r="GG17" s="35">
        <f t="shared" si="223"/>
        <v>9.6270443687559881E-2</v>
      </c>
      <c r="GH17" s="36">
        <f t="shared" si="224"/>
        <v>1890425.1550701582</v>
      </c>
      <c r="GI17" s="132">
        <f t="shared" si="225"/>
        <v>0</v>
      </c>
      <c r="GJ17" s="158">
        <f t="shared" si="228"/>
        <v>579097.74310585414</v>
      </c>
      <c r="GK17" s="102">
        <f t="shared" si="226"/>
        <v>2838023.1199569628</v>
      </c>
      <c r="GL17" s="83">
        <f t="shared" si="227"/>
        <v>0.57996838183495125</v>
      </c>
    </row>
    <row r="18" spans="1:195" s="27" customFormat="1" ht="37.5">
      <c r="A18" s="170" t="s">
        <v>187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10">
        <f>'Исходные данные'!C20</f>
        <v>2215</v>
      </c>
      <c r="H18" s="33">
        <f>'Исходные данные'!D20</f>
        <v>5015975</v>
      </c>
      <c r="I18" s="34">
        <f>'Расчет КРП'!G16</f>
        <v>3.5</v>
      </c>
      <c r="J18" s="116" t="s">
        <v>8</v>
      </c>
      <c r="K18" s="120">
        <f t="shared" si="104"/>
        <v>0.3840659636767555</v>
      </c>
      <c r="L18" s="75">
        <f t="shared" si="105"/>
        <v>1872574.7416636245</v>
      </c>
      <c r="M18" s="72">
        <f t="shared" si="106"/>
        <v>0.52744630801933934</v>
      </c>
      <c r="N18" s="32" t="s">
        <v>8</v>
      </c>
      <c r="O18" s="35">
        <f t="shared" si="107"/>
        <v>3.8150843872439388E-2</v>
      </c>
      <c r="P18" s="36">
        <f t="shared" si="108"/>
        <v>748298.39658880921</v>
      </c>
      <c r="Q18" s="77">
        <f t="shared" si="109"/>
        <v>705256.08764636936</v>
      </c>
      <c r="R18" s="156" t="s">
        <v>8</v>
      </c>
      <c r="S18" s="32" t="s">
        <v>8</v>
      </c>
      <c r="T18" s="37">
        <f t="shared" si="110"/>
        <v>0.58144674840048183</v>
      </c>
      <c r="U18" s="35">
        <f t="shared" si="111"/>
        <v>9.4792077122029195E-2</v>
      </c>
      <c r="V18" s="52">
        <f t="shared" si="112"/>
        <v>2055461.0565086983</v>
      </c>
      <c r="W18" s="77">
        <f t="shared" si="113"/>
        <v>0</v>
      </c>
      <c r="X18" s="74" t="s">
        <v>8</v>
      </c>
      <c r="Y18" s="32" t="s">
        <v>8</v>
      </c>
      <c r="Z18" s="37">
        <f t="shared" si="114"/>
        <v>0.58144674840048183</v>
      </c>
      <c r="AA18" s="35">
        <f t="shared" si="115"/>
        <v>9.4792077122029195E-2</v>
      </c>
      <c r="AB18" s="52">
        <f t="shared" si="116"/>
        <v>2055461.0565086983</v>
      </c>
      <c r="AC18" s="77">
        <f t="shared" si="117"/>
        <v>0</v>
      </c>
      <c r="AD18" s="74" t="s">
        <v>8</v>
      </c>
      <c r="AE18" s="32" t="s">
        <v>8</v>
      </c>
      <c r="AF18" s="37">
        <f t="shared" si="118"/>
        <v>0.58144674840048183</v>
      </c>
      <c r="AG18" s="35">
        <f t="shared" si="119"/>
        <v>9.4792077122029195E-2</v>
      </c>
      <c r="AH18" s="52">
        <f t="shared" si="120"/>
        <v>2055461.0565086983</v>
      </c>
      <c r="AI18" s="77">
        <f t="shared" si="121"/>
        <v>0</v>
      </c>
      <c r="AJ18" s="74" t="s">
        <v>8</v>
      </c>
      <c r="AK18" s="32" t="s">
        <v>8</v>
      </c>
      <c r="AL18" s="37">
        <f t="shared" si="122"/>
        <v>0.58144674840048183</v>
      </c>
      <c r="AM18" s="35">
        <f t="shared" si="123"/>
        <v>9.4792077122029195E-2</v>
      </c>
      <c r="AN18" s="52">
        <f t="shared" si="124"/>
        <v>2055461.0565086983</v>
      </c>
      <c r="AO18" s="77">
        <f t="shared" si="125"/>
        <v>0</v>
      </c>
      <c r="AP18" s="74" t="s">
        <v>8</v>
      </c>
      <c r="AQ18" s="32" t="s">
        <v>8</v>
      </c>
      <c r="AR18" s="37">
        <f t="shared" si="126"/>
        <v>0.58144674840048183</v>
      </c>
      <c r="AS18" s="35">
        <f t="shared" si="127"/>
        <v>9.4792077122029195E-2</v>
      </c>
      <c r="AT18" s="52">
        <f t="shared" si="128"/>
        <v>2055461.0565086983</v>
      </c>
      <c r="AU18" s="77">
        <f t="shared" si="129"/>
        <v>0</v>
      </c>
      <c r="AV18" s="74" t="s">
        <v>8</v>
      </c>
      <c r="AW18" s="32" t="s">
        <v>8</v>
      </c>
      <c r="AX18" s="37">
        <f t="shared" si="130"/>
        <v>0.58144674840048183</v>
      </c>
      <c r="AY18" s="35">
        <f t="shared" si="131"/>
        <v>9.4792077122029195E-2</v>
      </c>
      <c r="AZ18" s="52">
        <f t="shared" si="132"/>
        <v>2055461.0565086983</v>
      </c>
      <c r="BA18" s="77">
        <f t="shared" si="133"/>
        <v>0</v>
      </c>
      <c r="BB18" s="74" t="s">
        <v>8</v>
      </c>
      <c r="BC18" s="32" t="s">
        <v>8</v>
      </c>
      <c r="BD18" s="37">
        <f t="shared" si="134"/>
        <v>0.58144674840048183</v>
      </c>
      <c r="BE18" s="35">
        <f t="shared" si="135"/>
        <v>9.4792077122029195E-2</v>
      </c>
      <c r="BF18" s="52">
        <f t="shared" si="136"/>
        <v>2055461.0565086983</v>
      </c>
      <c r="BG18" s="77">
        <f t="shared" si="137"/>
        <v>0</v>
      </c>
      <c r="BH18" s="74" t="s">
        <v>8</v>
      </c>
      <c r="BI18" s="32" t="s">
        <v>8</v>
      </c>
      <c r="BJ18" s="37">
        <f t="shared" si="138"/>
        <v>0.58144674840048183</v>
      </c>
      <c r="BK18" s="35">
        <f t="shared" si="139"/>
        <v>9.4792077122029195E-2</v>
      </c>
      <c r="BL18" s="52">
        <f t="shared" si="140"/>
        <v>2055461.0565086983</v>
      </c>
      <c r="BM18" s="77">
        <f t="shared" si="141"/>
        <v>0</v>
      </c>
      <c r="BN18" s="74" t="s">
        <v>8</v>
      </c>
      <c r="BO18" s="32" t="s">
        <v>8</v>
      </c>
      <c r="BP18" s="37">
        <f t="shared" si="142"/>
        <v>0.58144674840048183</v>
      </c>
      <c r="BQ18" s="35">
        <f t="shared" si="143"/>
        <v>9.4792077122029195E-2</v>
      </c>
      <c r="BR18" s="52">
        <f t="shared" si="144"/>
        <v>2055461.0565086983</v>
      </c>
      <c r="BS18" s="132">
        <f t="shared" si="145"/>
        <v>0</v>
      </c>
      <c r="BT18" s="74" t="s">
        <v>8</v>
      </c>
      <c r="BU18" s="32" t="s">
        <v>8</v>
      </c>
      <c r="BV18" s="37">
        <f t="shared" si="146"/>
        <v>0.58144674840048183</v>
      </c>
      <c r="BW18" s="35">
        <f t="shared" si="147"/>
        <v>9.4792077122029195E-2</v>
      </c>
      <c r="BX18" s="52">
        <f t="shared" si="148"/>
        <v>2055461.0565086983</v>
      </c>
      <c r="BY18" s="132">
        <f t="shared" si="149"/>
        <v>0</v>
      </c>
      <c r="BZ18" s="74" t="s">
        <v>8</v>
      </c>
      <c r="CA18" s="32" t="s">
        <v>8</v>
      </c>
      <c r="CB18" s="37">
        <f t="shared" si="150"/>
        <v>0.58144674840048183</v>
      </c>
      <c r="CC18" s="35">
        <f t="shared" si="151"/>
        <v>9.4792077122029195E-2</v>
      </c>
      <c r="CD18" s="52">
        <f t="shared" si="152"/>
        <v>2055461.0565086983</v>
      </c>
      <c r="CE18" s="132">
        <f t="shared" si="153"/>
        <v>0</v>
      </c>
      <c r="CF18" s="74" t="s">
        <v>8</v>
      </c>
      <c r="CG18" s="32" t="s">
        <v>8</v>
      </c>
      <c r="CH18" s="37">
        <f t="shared" si="154"/>
        <v>0.58144674840048183</v>
      </c>
      <c r="CI18" s="35">
        <f t="shared" si="155"/>
        <v>9.4792077122029195E-2</v>
      </c>
      <c r="CJ18" s="52">
        <f t="shared" si="156"/>
        <v>2055461.0565086983</v>
      </c>
      <c r="CK18" s="132">
        <f t="shared" si="157"/>
        <v>0</v>
      </c>
      <c r="CL18" s="74" t="s">
        <v>8</v>
      </c>
      <c r="CM18" s="32" t="s">
        <v>8</v>
      </c>
      <c r="CN18" s="37">
        <f t="shared" si="158"/>
        <v>0.58144674840048183</v>
      </c>
      <c r="CO18" s="35">
        <f t="shared" si="159"/>
        <v>9.4792077122029195E-2</v>
      </c>
      <c r="CP18" s="52">
        <f t="shared" si="160"/>
        <v>2055461.0565086983</v>
      </c>
      <c r="CQ18" s="132">
        <f t="shared" si="161"/>
        <v>0</v>
      </c>
      <c r="CR18" s="74" t="s">
        <v>8</v>
      </c>
      <c r="CS18" s="32" t="s">
        <v>8</v>
      </c>
      <c r="CT18" s="37">
        <f t="shared" si="162"/>
        <v>0.58144674840048183</v>
      </c>
      <c r="CU18" s="35">
        <f t="shared" si="163"/>
        <v>9.4792077122029195E-2</v>
      </c>
      <c r="CV18" s="52">
        <f t="shared" si="164"/>
        <v>2055461.0565086983</v>
      </c>
      <c r="CW18" s="132">
        <f t="shared" si="165"/>
        <v>0</v>
      </c>
      <c r="CX18" s="74" t="s">
        <v>8</v>
      </c>
      <c r="CY18" s="32" t="s">
        <v>8</v>
      </c>
      <c r="CZ18" s="37">
        <f t="shared" si="166"/>
        <v>0.58144674840048183</v>
      </c>
      <c r="DA18" s="35">
        <f t="shared" si="167"/>
        <v>9.4792077122029195E-2</v>
      </c>
      <c r="DB18" s="52">
        <f t="shared" si="168"/>
        <v>2055461.0565086983</v>
      </c>
      <c r="DC18" s="132">
        <f t="shared" si="169"/>
        <v>0</v>
      </c>
      <c r="DD18" s="74" t="s">
        <v>8</v>
      </c>
      <c r="DE18" s="32" t="s">
        <v>8</v>
      </c>
      <c r="DF18" s="37">
        <f t="shared" si="170"/>
        <v>0.58144674840048183</v>
      </c>
      <c r="DG18" s="35">
        <f t="shared" si="171"/>
        <v>9.4792077122029195E-2</v>
      </c>
      <c r="DH18" s="52">
        <f t="shared" si="172"/>
        <v>2055461.0565086983</v>
      </c>
      <c r="DI18" s="132">
        <f t="shared" si="173"/>
        <v>0</v>
      </c>
      <c r="DJ18" s="74" t="s">
        <v>8</v>
      </c>
      <c r="DK18" s="32" t="s">
        <v>8</v>
      </c>
      <c r="DL18" s="37">
        <f t="shared" si="174"/>
        <v>0.58144674840048183</v>
      </c>
      <c r="DM18" s="35">
        <f t="shared" si="175"/>
        <v>9.4792077122029195E-2</v>
      </c>
      <c r="DN18" s="52">
        <f t="shared" si="176"/>
        <v>2055461.0565086983</v>
      </c>
      <c r="DO18" s="132">
        <f t="shared" si="177"/>
        <v>0</v>
      </c>
      <c r="DP18" s="74" t="s">
        <v>8</v>
      </c>
      <c r="DQ18" s="32" t="s">
        <v>8</v>
      </c>
      <c r="DR18" s="37">
        <f t="shared" si="178"/>
        <v>0.58144674840048183</v>
      </c>
      <c r="DS18" s="35">
        <f t="shared" si="179"/>
        <v>9.4792077122029195E-2</v>
      </c>
      <c r="DT18" s="52">
        <f t="shared" si="180"/>
        <v>2055461.0565086983</v>
      </c>
      <c r="DU18" s="132">
        <f t="shared" si="181"/>
        <v>0</v>
      </c>
      <c r="DV18" s="74" t="s">
        <v>8</v>
      </c>
      <c r="DW18" s="32" t="s">
        <v>8</v>
      </c>
      <c r="DX18" s="37">
        <f t="shared" si="182"/>
        <v>0.58144674840048183</v>
      </c>
      <c r="DY18" s="35">
        <f t="shared" si="183"/>
        <v>9.4792077122029195E-2</v>
      </c>
      <c r="DZ18" s="36">
        <f t="shared" si="184"/>
        <v>2055461.0565086983</v>
      </c>
      <c r="EA18" s="77">
        <f t="shared" si="185"/>
        <v>0</v>
      </c>
      <c r="EB18" s="74" t="s">
        <v>8</v>
      </c>
      <c r="EC18" s="32" t="s">
        <v>8</v>
      </c>
      <c r="ED18" s="37">
        <f t="shared" si="186"/>
        <v>0.58144674840048183</v>
      </c>
      <c r="EE18" s="35">
        <f t="shared" si="187"/>
        <v>9.4792077122029195E-2</v>
      </c>
      <c r="EF18" s="36">
        <f t="shared" si="188"/>
        <v>2055461.0565086983</v>
      </c>
      <c r="EG18" s="77">
        <f t="shared" si="189"/>
        <v>0</v>
      </c>
      <c r="EH18" s="74" t="s">
        <v>8</v>
      </c>
      <c r="EI18" s="32" t="s">
        <v>8</v>
      </c>
      <c r="EJ18" s="37">
        <f t="shared" si="190"/>
        <v>0.58144674840048183</v>
      </c>
      <c r="EK18" s="35">
        <f t="shared" si="191"/>
        <v>9.4792077122029195E-2</v>
      </c>
      <c r="EL18" s="36">
        <f t="shared" si="192"/>
        <v>2055461.0565086983</v>
      </c>
      <c r="EM18" s="77">
        <f t="shared" si="193"/>
        <v>0</v>
      </c>
      <c r="EN18" s="74" t="s">
        <v>8</v>
      </c>
      <c r="EO18" s="32" t="s">
        <v>8</v>
      </c>
      <c r="EP18" s="37">
        <f t="shared" si="194"/>
        <v>0.58144674840048183</v>
      </c>
      <c r="EQ18" s="35">
        <f t="shared" si="195"/>
        <v>9.4792077122029195E-2</v>
      </c>
      <c r="ER18" s="36">
        <f t="shared" si="196"/>
        <v>2055461.0565086983</v>
      </c>
      <c r="ES18" s="77">
        <f t="shared" si="197"/>
        <v>0</v>
      </c>
      <c r="ET18" s="74" t="s">
        <v>8</v>
      </c>
      <c r="EU18" s="32" t="s">
        <v>8</v>
      </c>
      <c r="EV18" s="37">
        <f t="shared" si="198"/>
        <v>0.58144674840048183</v>
      </c>
      <c r="EW18" s="35">
        <f t="shared" si="199"/>
        <v>9.4792077122029195E-2</v>
      </c>
      <c r="EX18" s="36">
        <f t="shared" si="200"/>
        <v>2055461.0565086983</v>
      </c>
      <c r="EY18" s="77">
        <f t="shared" si="201"/>
        <v>0</v>
      </c>
      <c r="EZ18" s="74" t="s">
        <v>8</v>
      </c>
      <c r="FA18" s="32" t="s">
        <v>8</v>
      </c>
      <c r="FB18" s="37">
        <f t="shared" si="202"/>
        <v>0.58144674840048183</v>
      </c>
      <c r="FC18" s="35">
        <f t="shared" si="203"/>
        <v>9.4792077122029195E-2</v>
      </c>
      <c r="FD18" s="36">
        <f t="shared" si="204"/>
        <v>2055461.0565086983</v>
      </c>
      <c r="FE18" s="77">
        <f t="shared" si="205"/>
        <v>0</v>
      </c>
      <c r="FF18" s="74" t="s">
        <v>8</v>
      </c>
      <c r="FG18" s="32" t="s">
        <v>8</v>
      </c>
      <c r="FH18" s="37">
        <f t="shared" si="206"/>
        <v>0.58144674840048183</v>
      </c>
      <c r="FI18" s="35">
        <f t="shared" si="207"/>
        <v>9.4792077122029195E-2</v>
      </c>
      <c r="FJ18" s="36">
        <f t="shared" si="208"/>
        <v>2055461.0565086983</v>
      </c>
      <c r="FK18" s="77">
        <f t="shared" si="209"/>
        <v>0</v>
      </c>
      <c r="FL18" s="74" t="s">
        <v>8</v>
      </c>
      <c r="FM18" s="32" t="s">
        <v>8</v>
      </c>
      <c r="FN18" s="37">
        <f t="shared" si="210"/>
        <v>0.58144674840048183</v>
      </c>
      <c r="FO18" s="35">
        <f t="shared" si="211"/>
        <v>9.4792077122029195E-2</v>
      </c>
      <c r="FP18" s="36">
        <f t="shared" si="212"/>
        <v>2055461.0565086983</v>
      </c>
      <c r="FQ18" s="77">
        <f t="shared" si="213"/>
        <v>0</v>
      </c>
      <c r="FR18" s="74" t="s">
        <v>8</v>
      </c>
      <c r="FS18" s="32" t="s">
        <v>8</v>
      </c>
      <c r="FT18" s="37">
        <f t="shared" si="214"/>
        <v>0.58144674840048183</v>
      </c>
      <c r="FU18" s="35">
        <f t="shared" si="215"/>
        <v>9.4792077122029195E-2</v>
      </c>
      <c r="FV18" s="36">
        <f t="shared" si="216"/>
        <v>2055461.0565086983</v>
      </c>
      <c r="FW18" s="77">
        <f t="shared" si="217"/>
        <v>0</v>
      </c>
      <c r="FX18" s="74" t="s">
        <v>8</v>
      </c>
      <c r="FY18" s="32" t="s">
        <v>8</v>
      </c>
      <c r="FZ18" s="37">
        <f t="shared" si="218"/>
        <v>0.58144674840048183</v>
      </c>
      <c r="GA18" s="35">
        <f t="shared" si="219"/>
        <v>9.4792077122029195E-2</v>
      </c>
      <c r="GB18" s="36">
        <f t="shared" si="220"/>
        <v>2055461.0565086983</v>
      </c>
      <c r="GC18" s="77">
        <f t="shared" si="221"/>
        <v>0</v>
      </c>
      <c r="GD18" s="74" t="s">
        <v>8</v>
      </c>
      <c r="GE18" s="32" t="s">
        <v>8</v>
      </c>
      <c r="GF18" s="37">
        <f t="shared" si="222"/>
        <v>0.58144674840048183</v>
      </c>
      <c r="GG18" s="35">
        <f t="shared" si="223"/>
        <v>9.4792077122029195E-2</v>
      </c>
      <c r="GH18" s="36">
        <f t="shared" si="224"/>
        <v>2055461.0565086983</v>
      </c>
      <c r="GI18" s="132">
        <f t="shared" si="225"/>
        <v>0</v>
      </c>
      <c r="GJ18" s="158">
        <f t="shared" si="228"/>
        <v>705256.08764636936</v>
      </c>
      <c r="GK18" s="102">
        <f t="shared" si="226"/>
        <v>2577830.8293099939</v>
      </c>
      <c r="GL18" s="83">
        <f t="shared" si="227"/>
        <v>0.58144674840048172</v>
      </c>
    </row>
    <row r="19" spans="1:195" s="1" customFormat="1" ht="38.25" thickBot="1">
      <c r="A19" s="170" t="s">
        <v>188</v>
      </c>
      <c r="B19" s="196" t="s">
        <v>8</v>
      </c>
      <c r="C19" s="196" t="s">
        <v>8</v>
      </c>
      <c r="D19" s="196" t="s">
        <v>8</v>
      </c>
      <c r="E19" s="196" t="s">
        <v>8</v>
      </c>
      <c r="F19" s="196" t="s">
        <v>8</v>
      </c>
      <c r="G19" s="197">
        <f>'Исходные данные'!C21</f>
        <v>22101</v>
      </c>
      <c r="H19" s="171">
        <f>'Исходные данные'!D21</f>
        <v>33373161</v>
      </c>
      <c r="I19" s="198">
        <f>'Расчет КРП'!G17</f>
        <v>2.166666666666667</v>
      </c>
      <c r="J19" s="199" t="s">
        <v>8</v>
      </c>
      <c r="K19" s="120">
        <f t="shared" si="104"/>
        <v>0.41370002770869424</v>
      </c>
      <c r="L19" s="75">
        <f t="shared" si="105"/>
        <v>18684322.512644589</v>
      </c>
      <c r="M19" s="200">
        <f t="shared" si="106"/>
        <v>0.64531443010825251</v>
      </c>
      <c r="N19" s="201" t="s">
        <v>8</v>
      </c>
      <c r="O19" s="202">
        <f t="shared" si="107"/>
        <v>-7.9717278216473786E-2</v>
      </c>
      <c r="P19" s="193">
        <f t="shared" si="108"/>
        <v>0</v>
      </c>
      <c r="Q19" s="203">
        <f t="shared" si="109"/>
        <v>0</v>
      </c>
      <c r="R19" s="204" t="s">
        <v>8</v>
      </c>
      <c r="S19" s="201" t="s">
        <v>8</v>
      </c>
      <c r="T19" s="205">
        <f t="shared" si="110"/>
        <v>0.64531443010825251</v>
      </c>
      <c r="U19" s="202">
        <f t="shared" si="111"/>
        <v>3.092439541425851E-2</v>
      </c>
      <c r="V19" s="188">
        <f t="shared" si="112"/>
        <v>4141910.2344518616</v>
      </c>
      <c r="W19" s="203">
        <f t="shared" si="113"/>
        <v>0</v>
      </c>
      <c r="X19" s="43" t="s">
        <v>8</v>
      </c>
      <c r="Y19" s="201" t="s">
        <v>8</v>
      </c>
      <c r="Z19" s="205">
        <f t="shared" si="114"/>
        <v>0.64531443010825251</v>
      </c>
      <c r="AA19" s="202">
        <f t="shared" si="115"/>
        <v>3.092439541425851E-2</v>
      </c>
      <c r="AB19" s="188">
        <f t="shared" si="116"/>
        <v>4141910.2344518616</v>
      </c>
      <c r="AC19" s="203">
        <f t="shared" si="117"/>
        <v>0</v>
      </c>
      <c r="AD19" s="43" t="s">
        <v>8</v>
      </c>
      <c r="AE19" s="201" t="s">
        <v>8</v>
      </c>
      <c r="AF19" s="205">
        <f t="shared" si="118"/>
        <v>0.64531443010825251</v>
      </c>
      <c r="AG19" s="202">
        <f t="shared" si="119"/>
        <v>3.092439541425851E-2</v>
      </c>
      <c r="AH19" s="188">
        <f t="shared" si="120"/>
        <v>4141910.2344518616</v>
      </c>
      <c r="AI19" s="203">
        <f t="shared" si="121"/>
        <v>0</v>
      </c>
      <c r="AJ19" s="43" t="s">
        <v>8</v>
      </c>
      <c r="AK19" s="201" t="s">
        <v>8</v>
      </c>
      <c r="AL19" s="205">
        <f t="shared" si="122"/>
        <v>0.64531443010825251</v>
      </c>
      <c r="AM19" s="202">
        <f t="shared" si="123"/>
        <v>3.092439541425851E-2</v>
      </c>
      <c r="AN19" s="188">
        <f t="shared" si="124"/>
        <v>4141910.2344518616</v>
      </c>
      <c r="AO19" s="203">
        <f t="shared" si="125"/>
        <v>0</v>
      </c>
      <c r="AP19" s="43" t="s">
        <v>8</v>
      </c>
      <c r="AQ19" s="201" t="s">
        <v>8</v>
      </c>
      <c r="AR19" s="205">
        <f t="shared" si="126"/>
        <v>0.64531443010825251</v>
      </c>
      <c r="AS19" s="202">
        <f t="shared" si="127"/>
        <v>3.092439541425851E-2</v>
      </c>
      <c r="AT19" s="188">
        <f t="shared" si="128"/>
        <v>4141910.2344518616</v>
      </c>
      <c r="AU19" s="203">
        <f t="shared" si="129"/>
        <v>0</v>
      </c>
      <c r="AV19" s="43" t="s">
        <v>8</v>
      </c>
      <c r="AW19" s="201" t="s">
        <v>8</v>
      </c>
      <c r="AX19" s="205">
        <f t="shared" si="130"/>
        <v>0.64531443010825251</v>
      </c>
      <c r="AY19" s="202">
        <f t="shared" si="131"/>
        <v>3.092439541425851E-2</v>
      </c>
      <c r="AZ19" s="188">
        <f t="shared" si="132"/>
        <v>4141910.2344518616</v>
      </c>
      <c r="BA19" s="203">
        <f t="shared" si="133"/>
        <v>0</v>
      </c>
      <c r="BB19" s="43" t="s">
        <v>8</v>
      </c>
      <c r="BC19" s="201" t="s">
        <v>8</v>
      </c>
      <c r="BD19" s="205">
        <f t="shared" si="134"/>
        <v>0.64531443010825251</v>
      </c>
      <c r="BE19" s="202">
        <f t="shared" si="135"/>
        <v>3.092439541425851E-2</v>
      </c>
      <c r="BF19" s="188">
        <f t="shared" si="136"/>
        <v>4141910.2344518616</v>
      </c>
      <c r="BG19" s="203">
        <f t="shared" si="137"/>
        <v>0</v>
      </c>
      <c r="BH19" s="43" t="s">
        <v>8</v>
      </c>
      <c r="BI19" s="201" t="s">
        <v>8</v>
      </c>
      <c r="BJ19" s="205">
        <f t="shared" si="138"/>
        <v>0.64531443010825251</v>
      </c>
      <c r="BK19" s="202">
        <f t="shared" si="139"/>
        <v>3.092439541425851E-2</v>
      </c>
      <c r="BL19" s="188">
        <f t="shared" si="140"/>
        <v>4141910.2344518616</v>
      </c>
      <c r="BM19" s="203">
        <f t="shared" si="141"/>
        <v>0</v>
      </c>
      <c r="BN19" s="43" t="s">
        <v>8</v>
      </c>
      <c r="BO19" s="201" t="s">
        <v>8</v>
      </c>
      <c r="BP19" s="205">
        <f t="shared" si="142"/>
        <v>0.64531443010825251</v>
      </c>
      <c r="BQ19" s="202">
        <f t="shared" si="143"/>
        <v>3.092439541425851E-2</v>
      </c>
      <c r="BR19" s="188">
        <f t="shared" si="144"/>
        <v>4141910.2344518616</v>
      </c>
      <c r="BS19" s="206">
        <f t="shared" si="145"/>
        <v>0</v>
      </c>
      <c r="BT19" s="43" t="s">
        <v>8</v>
      </c>
      <c r="BU19" s="201" t="s">
        <v>8</v>
      </c>
      <c r="BV19" s="205">
        <f t="shared" si="146"/>
        <v>0.64531443010825251</v>
      </c>
      <c r="BW19" s="202">
        <f t="shared" si="147"/>
        <v>3.092439541425851E-2</v>
      </c>
      <c r="BX19" s="188">
        <f t="shared" si="148"/>
        <v>4141910.2344518616</v>
      </c>
      <c r="BY19" s="206">
        <f t="shared" si="149"/>
        <v>0</v>
      </c>
      <c r="BZ19" s="43" t="s">
        <v>8</v>
      </c>
      <c r="CA19" s="201" t="s">
        <v>8</v>
      </c>
      <c r="CB19" s="205">
        <f t="shared" si="150"/>
        <v>0.64531443010825251</v>
      </c>
      <c r="CC19" s="202">
        <f t="shared" si="151"/>
        <v>3.092439541425851E-2</v>
      </c>
      <c r="CD19" s="188">
        <f t="shared" si="152"/>
        <v>4141910.2344518616</v>
      </c>
      <c r="CE19" s="206">
        <f t="shared" si="153"/>
        <v>0</v>
      </c>
      <c r="CF19" s="43" t="s">
        <v>8</v>
      </c>
      <c r="CG19" s="201" t="s">
        <v>8</v>
      </c>
      <c r="CH19" s="205">
        <f t="shared" si="154"/>
        <v>0.64531443010825251</v>
      </c>
      <c r="CI19" s="202">
        <f t="shared" si="155"/>
        <v>3.092439541425851E-2</v>
      </c>
      <c r="CJ19" s="188">
        <f t="shared" si="156"/>
        <v>4141910.2344518616</v>
      </c>
      <c r="CK19" s="206">
        <f t="shared" si="157"/>
        <v>0</v>
      </c>
      <c r="CL19" s="43" t="s">
        <v>8</v>
      </c>
      <c r="CM19" s="201" t="s">
        <v>8</v>
      </c>
      <c r="CN19" s="205">
        <f t="shared" si="158"/>
        <v>0.64531443010825251</v>
      </c>
      <c r="CO19" s="202">
        <f t="shared" si="159"/>
        <v>3.092439541425851E-2</v>
      </c>
      <c r="CP19" s="188">
        <f t="shared" si="160"/>
        <v>4141910.2344518616</v>
      </c>
      <c r="CQ19" s="206">
        <f t="shared" si="161"/>
        <v>0</v>
      </c>
      <c r="CR19" s="43" t="s">
        <v>8</v>
      </c>
      <c r="CS19" s="201" t="s">
        <v>8</v>
      </c>
      <c r="CT19" s="205">
        <f t="shared" si="162"/>
        <v>0.64531443010825251</v>
      </c>
      <c r="CU19" s="202">
        <f t="shared" si="163"/>
        <v>3.092439541425851E-2</v>
      </c>
      <c r="CV19" s="188">
        <f t="shared" si="164"/>
        <v>4141910.2344518616</v>
      </c>
      <c r="CW19" s="206">
        <f t="shared" si="165"/>
        <v>0</v>
      </c>
      <c r="CX19" s="43" t="s">
        <v>8</v>
      </c>
      <c r="CY19" s="201" t="s">
        <v>8</v>
      </c>
      <c r="CZ19" s="205">
        <f t="shared" si="166"/>
        <v>0.64531443010825251</v>
      </c>
      <c r="DA19" s="202">
        <f t="shared" si="167"/>
        <v>3.092439541425851E-2</v>
      </c>
      <c r="DB19" s="188">
        <f t="shared" si="168"/>
        <v>4141910.2344518616</v>
      </c>
      <c r="DC19" s="206">
        <f t="shared" si="169"/>
        <v>0</v>
      </c>
      <c r="DD19" s="43" t="s">
        <v>8</v>
      </c>
      <c r="DE19" s="201" t="s">
        <v>8</v>
      </c>
      <c r="DF19" s="205">
        <f t="shared" si="170"/>
        <v>0.64531443010825251</v>
      </c>
      <c r="DG19" s="202">
        <f t="shared" si="171"/>
        <v>3.092439541425851E-2</v>
      </c>
      <c r="DH19" s="188">
        <f t="shared" si="172"/>
        <v>4141910.2344518616</v>
      </c>
      <c r="DI19" s="206">
        <f t="shared" si="173"/>
        <v>0</v>
      </c>
      <c r="DJ19" s="43" t="s">
        <v>8</v>
      </c>
      <c r="DK19" s="201" t="s">
        <v>8</v>
      </c>
      <c r="DL19" s="205">
        <f t="shared" si="174"/>
        <v>0.64531443010825251</v>
      </c>
      <c r="DM19" s="202">
        <f t="shared" si="175"/>
        <v>3.092439541425851E-2</v>
      </c>
      <c r="DN19" s="188">
        <f t="shared" si="176"/>
        <v>4141910.2344518616</v>
      </c>
      <c r="DO19" s="206">
        <f t="shared" si="177"/>
        <v>0</v>
      </c>
      <c r="DP19" s="43" t="s">
        <v>8</v>
      </c>
      <c r="DQ19" s="201" t="s">
        <v>8</v>
      </c>
      <c r="DR19" s="205">
        <f t="shared" si="178"/>
        <v>0.64531443010825251</v>
      </c>
      <c r="DS19" s="202">
        <f t="shared" si="179"/>
        <v>3.092439541425851E-2</v>
      </c>
      <c r="DT19" s="188">
        <f t="shared" si="180"/>
        <v>4141910.2344518616</v>
      </c>
      <c r="DU19" s="206">
        <f t="shared" si="181"/>
        <v>0</v>
      </c>
      <c r="DV19" s="43" t="s">
        <v>8</v>
      </c>
      <c r="DW19" s="201" t="s">
        <v>8</v>
      </c>
      <c r="DX19" s="205">
        <f t="shared" si="182"/>
        <v>0.64531443010825251</v>
      </c>
      <c r="DY19" s="202">
        <f t="shared" si="183"/>
        <v>3.092439541425851E-2</v>
      </c>
      <c r="DZ19" s="193">
        <f t="shared" si="184"/>
        <v>4141910.2344518616</v>
      </c>
      <c r="EA19" s="203">
        <f t="shared" si="185"/>
        <v>0</v>
      </c>
      <c r="EB19" s="43" t="s">
        <v>8</v>
      </c>
      <c r="EC19" s="201" t="s">
        <v>8</v>
      </c>
      <c r="ED19" s="205">
        <f t="shared" si="186"/>
        <v>0.64531443010825251</v>
      </c>
      <c r="EE19" s="202">
        <f t="shared" si="187"/>
        <v>3.092439541425851E-2</v>
      </c>
      <c r="EF19" s="193">
        <f t="shared" si="188"/>
        <v>4141910.2344518616</v>
      </c>
      <c r="EG19" s="203">
        <f t="shared" si="189"/>
        <v>0</v>
      </c>
      <c r="EH19" s="43" t="s">
        <v>8</v>
      </c>
      <c r="EI19" s="201" t="s">
        <v>8</v>
      </c>
      <c r="EJ19" s="205">
        <f t="shared" si="190"/>
        <v>0.64531443010825251</v>
      </c>
      <c r="EK19" s="202">
        <f t="shared" si="191"/>
        <v>3.092439541425851E-2</v>
      </c>
      <c r="EL19" s="193">
        <f t="shared" si="192"/>
        <v>4141910.2344518616</v>
      </c>
      <c r="EM19" s="203">
        <f t="shared" si="193"/>
        <v>0</v>
      </c>
      <c r="EN19" s="43" t="s">
        <v>8</v>
      </c>
      <c r="EO19" s="201" t="s">
        <v>8</v>
      </c>
      <c r="EP19" s="205">
        <f t="shared" si="194"/>
        <v>0.64531443010825251</v>
      </c>
      <c r="EQ19" s="202">
        <f t="shared" si="195"/>
        <v>3.092439541425851E-2</v>
      </c>
      <c r="ER19" s="193">
        <f t="shared" si="196"/>
        <v>4141910.2344518616</v>
      </c>
      <c r="ES19" s="203">
        <f t="shared" si="197"/>
        <v>0</v>
      </c>
      <c r="ET19" s="43" t="s">
        <v>8</v>
      </c>
      <c r="EU19" s="201" t="s">
        <v>8</v>
      </c>
      <c r="EV19" s="205">
        <f t="shared" si="198"/>
        <v>0.64531443010825251</v>
      </c>
      <c r="EW19" s="202">
        <f t="shared" si="199"/>
        <v>3.092439541425851E-2</v>
      </c>
      <c r="EX19" s="193">
        <f t="shared" si="200"/>
        <v>4141910.2344518616</v>
      </c>
      <c r="EY19" s="203">
        <f t="shared" si="201"/>
        <v>0</v>
      </c>
      <c r="EZ19" s="43" t="s">
        <v>8</v>
      </c>
      <c r="FA19" s="201" t="s">
        <v>8</v>
      </c>
      <c r="FB19" s="205">
        <f t="shared" si="202"/>
        <v>0.64531443010825251</v>
      </c>
      <c r="FC19" s="202">
        <f t="shared" si="203"/>
        <v>3.092439541425851E-2</v>
      </c>
      <c r="FD19" s="193">
        <f t="shared" si="204"/>
        <v>4141910.2344518616</v>
      </c>
      <c r="FE19" s="203">
        <f t="shared" si="205"/>
        <v>0</v>
      </c>
      <c r="FF19" s="43" t="s">
        <v>8</v>
      </c>
      <c r="FG19" s="201" t="s">
        <v>8</v>
      </c>
      <c r="FH19" s="205">
        <f t="shared" si="206"/>
        <v>0.64531443010825251</v>
      </c>
      <c r="FI19" s="202">
        <f t="shared" si="207"/>
        <v>3.092439541425851E-2</v>
      </c>
      <c r="FJ19" s="193">
        <f t="shared" si="208"/>
        <v>4141910.2344518616</v>
      </c>
      <c r="FK19" s="203">
        <f t="shared" si="209"/>
        <v>0</v>
      </c>
      <c r="FL19" s="43" t="s">
        <v>8</v>
      </c>
      <c r="FM19" s="201" t="s">
        <v>8</v>
      </c>
      <c r="FN19" s="205">
        <f t="shared" si="210"/>
        <v>0.64531443010825251</v>
      </c>
      <c r="FO19" s="202">
        <f t="shared" si="211"/>
        <v>3.092439541425851E-2</v>
      </c>
      <c r="FP19" s="193">
        <f t="shared" si="212"/>
        <v>4141910.2344518616</v>
      </c>
      <c r="FQ19" s="203">
        <f t="shared" si="213"/>
        <v>0</v>
      </c>
      <c r="FR19" s="43" t="s">
        <v>8</v>
      </c>
      <c r="FS19" s="201" t="s">
        <v>8</v>
      </c>
      <c r="FT19" s="205">
        <f t="shared" si="214"/>
        <v>0.64531443010825251</v>
      </c>
      <c r="FU19" s="202">
        <f t="shared" si="215"/>
        <v>3.092439541425851E-2</v>
      </c>
      <c r="FV19" s="193">
        <f t="shared" si="216"/>
        <v>4141910.2344518616</v>
      </c>
      <c r="FW19" s="203">
        <f t="shared" si="217"/>
        <v>0</v>
      </c>
      <c r="FX19" s="43" t="s">
        <v>8</v>
      </c>
      <c r="FY19" s="201" t="s">
        <v>8</v>
      </c>
      <c r="FZ19" s="205">
        <f t="shared" si="218"/>
        <v>0.64531443010825251</v>
      </c>
      <c r="GA19" s="202">
        <f t="shared" si="219"/>
        <v>3.092439541425851E-2</v>
      </c>
      <c r="GB19" s="193">
        <f t="shared" si="220"/>
        <v>4141910.2344518616</v>
      </c>
      <c r="GC19" s="203">
        <f t="shared" si="221"/>
        <v>0</v>
      </c>
      <c r="GD19" s="43" t="s">
        <v>8</v>
      </c>
      <c r="GE19" s="201" t="s">
        <v>8</v>
      </c>
      <c r="GF19" s="205">
        <f t="shared" si="222"/>
        <v>0.64531443010825251</v>
      </c>
      <c r="GG19" s="202">
        <f t="shared" si="223"/>
        <v>3.092439541425851E-2</v>
      </c>
      <c r="GH19" s="193">
        <f t="shared" si="224"/>
        <v>4141910.2344518616</v>
      </c>
      <c r="GI19" s="206">
        <f t="shared" si="225"/>
        <v>0</v>
      </c>
      <c r="GJ19" s="158">
        <f t="shared" si="228"/>
        <v>0</v>
      </c>
      <c r="GK19" s="208">
        <f t="shared" si="226"/>
        <v>18684322.512644589</v>
      </c>
      <c r="GL19" s="83">
        <f t="shared" si="227"/>
        <v>0.64531443010825251</v>
      </c>
    </row>
    <row r="20" spans="1:195" s="31" customFormat="1" ht="16.5" thickBot="1">
      <c r="A20" s="106" t="s">
        <v>6</v>
      </c>
      <c r="B20" s="130">
        <v>42659642</v>
      </c>
      <c r="C20" s="127">
        <v>76</v>
      </c>
      <c r="D20" s="78">
        <f>B20*C20/100</f>
        <v>32421327.920000002</v>
      </c>
      <c r="E20" s="112">
        <f>100-C20</f>
        <v>24</v>
      </c>
      <c r="F20" s="78">
        <f>B20-D20</f>
        <v>10238314.079999998</v>
      </c>
      <c r="G20" s="111">
        <f>SUM(G9:G19)</f>
        <v>38350</v>
      </c>
      <c r="H20" s="111">
        <f>SUM(H9:H19)</f>
        <v>64606042</v>
      </c>
      <c r="I20" s="49" t="s">
        <v>8</v>
      </c>
      <c r="J20" s="164">
        <f>H20/G20</f>
        <v>1684.6425554106911</v>
      </c>
      <c r="K20" s="121" t="s">
        <v>8</v>
      </c>
      <c r="L20" s="76">
        <f>SUM(L9:L19)</f>
        <v>32421327.919999998</v>
      </c>
      <c r="M20" s="73" t="s">
        <v>8</v>
      </c>
      <c r="N20" s="50">
        <f>(SUMIF(M9:M19,"&lt;1")+1)/(COUNTIFS(M9:M19,"&lt;1")+1)</f>
        <v>0.56559715189177873</v>
      </c>
      <c r="O20" s="51" t="s">
        <v>8</v>
      </c>
      <c r="P20" s="48">
        <f>SUM(P9:P19)</f>
        <v>10863166.08113871</v>
      </c>
      <c r="Q20" s="48">
        <f>SUM(Q9:Q19)</f>
        <v>10238314.080000002</v>
      </c>
      <c r="R20" s="84">
        <f>F20-Q20</f>
        <v>0</v>
      </c>
      <c r="S20" s="50">
        <f>(SUMIF(T9:T19,"&lt;1")+1)/(COUNTIFS(T9:T19,"&lt;1")+1)</f>
        <v>0.67623882552251102</v>
      </c>
      <c r="T20" s="51" t="s">
        <v>8</v>
      </c>
      <c r="U20" s="51" t="s">
        <v>8</v>
      </c>
      <c r="V20" s="48">
        <f>SUM(V9:V19)</f>
        <v>11383143.413333504</v>
      </c>
      <c r="W20" s="48">
        <f>SUM(W9:W19)</f>
        <v>0</v>
      </c>
      <c r="X20" s="84">
        <f>R20-W20</f>
        <v>0</v>
      </c>
      <c r="Y20" s="50">
        <f>(SUMIF(Z9:Z19,"&lt;1")+1)/(COUNTIFS(Z9:Z19,"&lt;1")+1)</f>
        <v>0.67623882552251102</v>
      </c>
      <c r="Z20" s="51" t="s">
        <v>8</v>
      </c>
      <c r="AA20" s="51" t="s">
        <v>8</v>
      </c>
      <c r="AB20" s="48">
        <f>SUM(AB9:AB19)</f>
        <v>11383143.413333504</v>
      </c>
      <c r="AC20" s="48">
        <f>SUM(AC9:AC19)</f>
        <v>0</v>
      </c>
      <c r="AD20" s="84">
        <f>X20-AC20</f>
        <v>0</v>
      </c>
      <c r="AE20" s="50">
        <f>(SUMIF(AF9:AF19,"&lt;1")+1)/(COUNTIFS(AF9:AF19,"&lt;1")+1)</f>
        <v>0.67623882552251102</v>
      </c>
      <c r="AF20" s="51" t="s">
        <v>8</v>
      </c>
      <c r="AG20" s="51" t="s">
        <v>8</v>
      </c>
      <c r="AH20" s="48">
        <f>SUM(AH9:AH19)</f>
        <v>11383143.413333504</v>
      </c>
      <c r="AI20" s="48">
        <f>SUM(AI9:AI19)</f>
        <v>0</v>
      </c>
      <c r="AJ20" s="84">
        <f>AD20-AI20</f>
        <v>0</v>
      </c>
      <c r="AK20" s="50">
        <f>(SUMIF(AL9:AL19,"&lt;1")+1)/(COUNTIFS(AL9:AL19,"&lt;1")+1)</f>
        <v>0.67623882552251102</v>
      </c>
      <c r="AL20" s="51" t="s">
        <v>8</v>
      </c>
      <c r="AM20" s="51" t="s">
        <v>8</v>
      </c>
      <c r="AN20" s="48">
        <f>SUM(AN9:AN19)</f>
        <v>11383143.413333504</v>
      </c>
      <c r="AO20" s="48">
        <f>SUM(AO9:AO19)</f>
        <v>0</v>
      </c>
      <c r="AP20" s="84">
        <f>AJ20-AO20</f>
        <v>0</v>
      </c>
      <c r="AQ20" s="50">
        <f>(SUMIF(AR9:AR19,"&lt;1")+1)/(COUNTIFS(AR9:AR19,"&lt;1")+1)</f>
        <v>0.67623882552251102</v>
      </c>
      <c r="AR20" s="51" t="s">
        <v>8</v>
      </c>
      <c r="AS20" s="51" t="s">
        <v>8</v>
      </c>
      <c r="AT20" s="48">
        <f>SUM(AT9:AT19)</f>
        <v>11383143.413333504</v>
      </c>
      <c r="AU20" s="78">
        <f>SUM(AU9:AU19)</f>
        <v>0</v>
      </c>
      <c r="AV20" s="84">
        <f>AP20-AU20</f>
        <v>0</v>
      </c>
      <c r="AW20" s="50">
        <f>(SUMIF(AX9:AX19,"&lt;1")+1)/(COUNTIFS(AX9:AX19,"&lt;1")+1)</f>
        <v>0.67623882552251102</v>
      </c>
      <c r="AX20" s="51" t="s">
        <v>8</v>
      </c>
      <c r="AY20" s="51" t="s">
        <v>8</v>
      </c>
      <c r="AZ20" s="48">
        <f>SUM(AZ9:AZ19)</f>
        <v>11383143.413333504</v>
      </c>
      <c r="BA20" s="48">
        <f>SUM(BA9:BA19)</f>
        <v>0</v>
      </c>
      <c r="BB20" s="84">
        <f>AV20-BA20</f>
        <v>0</v>
      </c>
      <c r="BC20" s="50">
        <f>(SUMIF(BD9:BD19,"&lt;1")+1)/(COUNTIFS(BD9:BD19,"&lt;1")+1)</f>
        <v>0.67623882552251102</v>
      </c>
      <c r="BD20" s="51" t="s">
        <v>8</v>
      </c>
      <c r="BE20" s="51" t="s">
        <v>8</v>
      </c>
      <c r="BF20" s="48">
        <f>SUM(BF9:BF19)</f>
        <v>11383143.413333504</v>
      </c>
      <c r="BG20" s="48">
        <f>SUM(BG9:BG19)</f>
        <v>0</v>
      </c>
      <c r="BH20" s="84">
        <f>BB20-BG20</f>
        <v>0</v>
      </c>
      <c r="BI20" s="50">
        <f>(SUMIF(BJ9:BJ19,"&lt;1")+1)/(COUNTIFS(BJ9:BJ19,"&lt;1")+1)</f>
        <v>0.67623882552251102</v>
      </c>
      <c r="BJ20" s="51" t="s">
        <v>8</v>
      </c>
      <c r="BK20" s="51" t="s">
        <v>8</v>
      </c>
      <c r="BL20" s="48">
        <f>SUM(BL9:BL19)</f>
        <v>11383143.413333504</v>
      </c>
      <c r="BM20" s="48">
        <f>SUM(BM9:BM19)</f>
        <v>0</v>
      </c>
      <c r="BN20" s="84">
        <f>BH20-BM20</f>
        <v>0</v>
      </c>
      <c r="BO20" s="50">
        <f>(SUMIF(BP9:BP19,"&lt;1")+1)/(COUNTIFS(BP9:BP19,"&lt;1")+1)</f>
        <v>0.67623882552251102</v>
      </c>
      <c r="BP20" s="51" t="s">
        <v>8</v>
      </c>
      <c r="BQ20" s="51" t="s">
        <v>8</v>
      </c>
      <c r="BR20" s="48">
        <f>SUM(BR9:BR19)</f>
        <v>11383143.413333504</v>
      </c>
      <c r="BS20" s="48">
        <f>SUM(BS9:BS19)</f>
        <v>0</v>
      </c>
      <c r="BT20" s="84">
        <f>BN20-BS20</f>
        <v>0</v>
      </c>
      <c r="BU20" s="50">
        <f>(SUMIF(BV9:BV19,"&lt;1")+1)/(COUNTIFS(BV9:BV19,"&lt;1")+1)</f>
        <v>0.67623882552251102</v>
      </c>
      <c r="BV20" s="51" t="s">
        <v>8</v>
      </c>
      <c r="BW20" s="51" t="s">
        <v>8</v>
      </c>
      <c r="BX20" s="48">
        <f>SUM(BX9:BX19)</f>
        <v>11383143.413333504</v>
      </c>
      <c r="BY20" s="48">
        <f>SUM(BY9:BY19)</f>
        <v>0</v>
      </c>
      <c r="BZ20" s="84">
        <f>BT20-BY20</f>
        <v>0</v>
      </c>
      <c r="CA20" s="50">
        <f>(SUMIF(CB9:CB19,"&lt;1")+1)/(COUNTIFS(CB9:CB19,"&lt;1")+1)</f>
        <v>0.67623882552251102</v>
      </c>
      <c r="CB20" s="51" t="s">
        <v>8</v>
      </c>
      <c r="CC20" s="51" t="s">
        <v>8</v>
      </c>
      <c r="CD20" s="48">
        <f>SUM(CD9:CD19)</f>
        <v>11383143.413333504</v>
      </c>
      <c r="CE20" s="48">
        <f>SUM(CE9:CE19)</f>
        <v>0</v>
      </c>
      <c r="CF20" s="84">
        <f>BZ20-CE20</f>
        <v>0</v>
      </c>
      <c r="CG20" s="50">
        <f>(SUMIF(CH9:CH19,"&lt;1")+1)/(COUNTIFS(CH9:CH19,"&lt;1")+1)</f>
        <v>0.67623882552251102</v>
      </c>
      <c r="CH20" s="51" t="s">
        <v>8</v>
      </c>
      <c r="CI20" s="51" t="s">
        <v>8</v>
      </c>
      <c r="CJ20" s="48">
        <f>SUM(CJ9:CJ19)</f>
        <v>11383143.413333504</v>
      </c>
      <c r="CK20" s="48">
        <f>SUM(CK9:CK19)</f>
        <v>0</v>
      </c>
      <c r="CL20" s="84">
        <f>CF20-CK20</f>
        <v>0</v>
      </c>
      <c r="CM20" s="50">
        <f>(SUMIF(CN9:CN19,"&lt;1")+1)/(COUNTIFS(CN9:CN19,"&lt;1")+1)</f>
        <v>0.67623882552251102</v>
      </c>
      <c r="CN20" s="51" t="s">
        <v>8</v>
      </c>
      <c r="CO20" s="51" t="s">
        <v>8</v>
      </c>
      <c r="CP20" s="48">
        <f>SUM(CP9:CP19)</f>
        <v>11383143.413333504</v>
      </c>
      <c r="CQ20" s="48">
        <f>SUM(CQ9:CQ19)</f>
        <v>0</v>
      </c>
      <c r="CR20" s="84">
        <f>CL20-CQ20</f>
        <v>0</v>
      </c>
      <c r="CS20" s="50">
        <f>(SUMIF(CT9:CT19,"&lt;1")+1)/(COUNTIFS(CT9:CT19,"&lt;1")+1)</f>
        <v>0.67623882552251102</v>
      </c>
      <c r="CT20" s="51" t="s">
        <v>8</v>
      </c>
      <c r="CU20" s="51" t="s">
        <v>8</v>
      </c>
      <c r="CV20" s="48">
        <f>SUM(CV9:CV19)</f>
        <v>11383143.413333504</v>
      </c>
      <c r="CW20" s="48">
        <f>SUM(CW9:CW19)</f>
        <v>0</v>
      </c>
      <c r="CX20" s="84">
        <f>CR20-CW20</f>
        <v>0</v>
      </c>
      <c r="CY20" s="50">
        <f>(SUMIF(CZ9:CZ19,"&lt;1")+1)/(COUNTIFS(CZ9:CZ19,"&lt;1")+1)</f>
        <v>0.67623882552251102</v>
      </c>
      <c r="CZ20" s="51" t="s">
        <v>8</v>
      </c>
      <c r="DA20" s="51" t="s">
        <v>8</v>
      </c>
      <c r="DB20" s="48">
        <f>SUM(DB9:DB19)</f>
        <v>11383143.413333504</v>
      </c>
      <c r="DC20" s="48">
        <f>SUM(DC9:DC19)</f>
        <v>0</v>
      </c>
      <c r="DD20" s="84">
        <f>CX20-DC20</f>
        <v>0</v>
      </c>
      <c r="DE20" s="50">
        <f>(SUMIF(DF9:DF19,"&lt;1")+1)/(COUNTIFS(DF9:DF19,"&lt;1")+1)</f>
        <v>0.67623882552251102</v>
      </c>
      <c r="DF20" s="51" t="s">
        <v>8</v>
      </c>
      <c r="DG20" s="51" t="s">
        <v>8</v>
      </c>
      <c r="DH20" s="48">
        <f>SUM(DH9:DH19)</f>
        <v>11383143.413333504</v>
      </c>
      <c r="DI20" s="48">
        <f>SUM(DI9:DI19)</f>
        <v>0</v>
      </c>
      <c r="DJ20" s="84">
        <f>DD20-DI20</f>
        <v>0</v>
      </c>
      <c r="DK20" s="50">
        <f>(SUMIF(DL9:DL19,"&lt;1")+1)/(COUNTIFS(DL9:DL19,"&lt;1")+1)</f>
        <v>0.67623882552251102</v>
      </c>
      <c r="DL20" s="51" t="s">
        <v>8</v>
      </c>
      <c r="DM20" s="51" t="s">
        <v>8</v>
      </c>
      <c r="DN20" s="48">
        <f>SUM(DN9:DN19)</f>
        <v>11383143.413333504</v>
      </c>
      <c r="DO20" s="48">
        <f>SUM(DO9:DO19)</f>
        <v>0</v>
      </c>
      <c r="DP20" s="84">
        <f>DJ20-DO20</f>
        <v>0</v>
      </c>
      <c r="DQ20" s="50">
        <f>(SUMIF(DR9:DR19,"&lt;1")+1)/(COUNTIFS(DR9:DR19,"&lt;1")+1)</f>
        <v>0.67623882552251102</v>
      </c>
      <c r="DR20" s="51" t="s">
        <v>8</v>
      </c>
      <c r="DS20" s="51" t="s">
        <v>8</v>
      </c>
      <c r="DT20" s="48">
        <f>SUM(DT9:DT19)</f>
        <v>11383143.413333504</v>
      </c>
      <c r="DU20" s="48">
        <f>SUM(DU9:DU19)</f>
        <v>0</v>
      </c>
      <c r="DV20" s="84">
        <f>DP20-DU20</f>
        <v>0</v>
      </c>
      <c r="DW20" s="50">
        <f>(SUMIF(DX9:DX19,"&lt;1")+1)/(COUNTIFS(DX9:DX19,"&lt;1")+1)</f>
        <v>0.67623882552251102</v>
      </c>
      <c r="DX20" s="51" t="s">
        <v>8</v>
      </c>
      <c r="DY20" s="51" t="s">
        <v>8</v>
      </c>
      <c r="DZ20" s="152">
        <f>SUM(DZ9:DZ19)</f>
        <v>11383143.413333504</v>
      </c>
      <c r="EA20" s="48">
        <f>SUM(EA9:EA19)</f>
        <v>0</v>
      </c>
      <c r="EB20" s="84">
        <f>DV20-EA20</f>
        <v>0</v>
      </c>
      <c r="EC20" s="50">
        <f>(SUMIF(ED9:ED19,"&lt;1")+1)/(COUNTIFS(ED9:ED19,"&lt;1")+1)</f>
        <v>0.67623882552251102</v>
      </c>
      <c r="ED20" s="51" t="s">
        <v>8</v>
      </c>
      <c r="EE20" s="51" t="s">
        <v>8</v>
      </c>
      <c r="EF20" s="152">
        <f>SUM(EF9:EF19)</f>
        <v>11383143.413333504</v>
      </c>
      <c r="EG20" s="48">
        <f>SUM(EG9:EG19)</f>
        <v>0</v>
      </c>
      <c r="EH20" s="84">
        <f>EB20-EG20</f>
        <v>0</v>
      </c>
      <c r="EI20" s="50">
        <f>(SUMIF(EJ9:EJ19,"&lt;1")+1)/(COUNTIFS(EJ9:EJ19,"&lt;1")+1)</f>
        <v>0.67623882552251102</v>
      </c>
      <c r="EJ20" s="51" t="s">
        <v>8</v>
      </c>
      <c r="EK20" s="51" t="s">
        <v>8</v>
      </c>
      <c r="EL20" s="152">
        <f>SUM(EL9:EL19)</f>
        <v>11383143.413333504</v>
      </c>
      <c r="EM20" s="48">
        <f>SUM(EM9:EM19)</f>
        <v>0</v>
      </c>
      <c r="EN20" s="84">
        <f>EH20-EM20</f>
        <v>0</v>
      </c>
      <c r="EO20" s="50">
        <f>(SUMIF(EP9:EP19,"&lt;1")+1)/(COUNTIFS(EP9:EP19,"&lt;1")+1)</f>
        <v>0.67623882552251102</v>
      </c>
      <c r="EP20" s="51" t="s">
        <v>8</v>
      </c>
      <c r="EQ20" s="51" t="s">
        <v>8</v>
      </c>
      <c r="ER20" s="152">
        <f>SUM(ER9:ER19)</f>
        <v>11383143.413333504</v>
      </c>
      <c r="ES20" s="48">
        <f>SUM(ES9:ES19)</f>
        <v>0</v>
      </c>
      <c r="ET20" s="84">
        <f>EN20-ES20</f>
        <v>0</v>
      </c>
      <c r="EU20" s="50">
        <f>(SUMIF(EV9:EV19,"&lt;1")+1)/(COUNTIFS(EV9:EV19,"&lt;1")+1)</f>
        <v>0.67623882552251102</v>
      </c>
      <c r="EV20" s="51" t="s">
        <v>8</v>
      </c>
      <c r="EW20" s="51" t="s">
        <v>8</v>
      </c>
      <c r="EX20" s="152">
        <f>SUM(EX9:EX19)</f>
        <v>11383143.413333504</v>
      </c>
      <c r="EY20" s="48">
        <f>SUM(EY9:EY19)</f>
        <v>0</v>
      </c>
      <c r="EZ20" s="84">
        <f>ET20-EY20</f>
        <v>0</v>
      </c>
      <c r="FA20" s="50">
        <f>(SUMIF(FB9:FB19,"&lt;1")+1)/(COUNTIFS(FB9:FB19,"&lt;1")+1)</f>
        <v>0.67623882552251102</v>
      </c>
      <c r="FB20" s="51" t="s">
        <v>8</v>
      </c>
      <c r="FC20" s="51" t="s">
        <v>8</v>
      </c>
      <c r="FD20" s="152">
        <f>SUM(FD9:FD19)</f>
        <v>11383143.413333504</v>
      </c>
      <c r="FE20" s="48">
        <f>SUM(FE9:FE19)</f>
        <v>0</v>
      </c>
      <c r="FF20" s="84">
        <f>EZ20-FE20</f>
        <v>0</v>
      </c>
      <c r="FG20" s="50">
        <f>(SUMIF(FH9:FH19,"&lt;1")+1)/(COUNTIFS(FH9:FH19,"&lt;1")+1)</f>
        <v>0.67623882552251102</v>
      </c>
      <c r="FH20" s="51" t="s">
        <v>8</v>
      </c>
      <c r="FI20" s="51" t="s">
        <v>8</v>
      </c>
      <c r="FJ20" s="152">
        <f>SUM(FJ9:FJ19)</f>
        <v>11383143.413333504</v>
      </c>
      <c r="FK20" s="48">
        <f>SUM(FK9:FK19)</f>
        <v>0</v>
      </c>
      <c r="FL20" s="84">
        <f>FF20-FK20</f>
        <v>0</v>
      </c>
      <c r="FM20" s="50">
        <f>(SUMIF(FN9:FN19,"&lt;1")+1)/(COUNTIFS(FN9:FN19,"&lt;1")+1)</f>
        <v>0.67623882552251102</v>
      </c>
      <c r="FN20" s="51" t="s">
        <v>8</v>
      </c>
      <c r="FO20" s="51" t="s">
        <v>8</v>
      </c>
      <c r="FP20" s="152">
        <f>SUM(FP9:FP19)</f>
        <v>11383143.413333504</v>
      </c>
      <c r="FQ20" s="48">
        <f>SUM(FQ9:FQ19)</f>
        <v>0</v>
      </c>
      <c r="FR20" s="84">
        <f>FL20-FQ20</f>
        <v>0</v>
      </c>
      <c r="FS20" s="50">
        <f>(SUMIF(FT9:FT19,"&lt;1")+1)/(COUNTIFS(FT9:FT19,"&lt;1")+1)</f>
        <v>0.67623882552251102</v>
      </c>
      <c r="FT20" s="51" t="s">
        <v>8</v>
      </c>
      <c r="FU20" s="51" t="s">
        <v>8</v>
      </c>
      <c r="FV20" s="152">
        <f>SUM(FV9:FV19)</f>
        <v>11383143.413333504</v>
      </c>
      <c r="FW20" s="48">
        <f>SUM(FW9:FW19)</f>
        <v>0</v>
      </c>
      <c r="FX20" s="84">
        <f>FR20-FW20</f>
        <v>0</v>
      </c>
      <c r="FY20" s="50">
        <f>(SUMIF(FZ9:FZ19,"&lt;1")+1)/(COUNTIFS(FZ9:FZ19,"&lt;1")+1)</f>
        <v>0.67623882552251102</v>
      </c>
      <c r="FZ20" s="51" t="s">
        <v>8</v>
      </c>
      <c r="GA20" s="51" t="s">
        <v>8</v>
      </c>
      <c r="GB20" s="152">
        <f>SUM(GB9:GB19)</f>
        <v>11383143.413333504</v>
      </c>
      <c r="GC20" s="48">
        <f>SUM(GC9:GC19)</f>
        <v>0</v>
      </c>
      <c r="GD20" s="84">
        <f>FX20-GC20</f>
        <v>0</v>
      </c>
      <c r="GE20" s="50">
        <f>(SUMIF(GF9:GF19,"&lt;1")+1)/(COUNTIFS(GF9:GF19,"&lt;1")+1)</f>
        <v>0.67623882552251102</v>
      </c>
      <c r="GF20" s="51" t="s">
        <v>8</v>
      </c>
      <c r="GG20" s="51" t="s">
        <v>8</v>
      </c>
      <c r="GH20" s="152">
        <f>SUM(GH9:GH19)</f>
        <v>11383143.413333504</v>
      </c>
      <c r="GI20" s="48">
        <f>SUM(GI9:GI19)</f>
        <v>0</v>
      </c>
      <c r="GJ20" s="167">
        <f>SUM(GJ9:GJ19)</f>
        <v>10238314.080000002</v>
      </c>
      <c r="GK20" s="168">
        <f t="shared" si="226"/>
        <v>42659642</v>
      </c>
      <c r="GL20" s="169" t="s">
        <v>8</v>
      </c>
      <c r="GM20" s="27"/>
    </row>
    <row r="22" spans="1:195">
      <c r="P22" s="26"/>
    </row>
    <row r="24" spans="1:195">
      <c r="GJ24" s="133"/>
      <c r="GK24" s="133"/>
    </row>
    <row r="25" spans="1:195">
      <c r="M25" s="25"/>
    </row>
  </sheetData>
  <protectedRanges>
    <protectedRange sqref="A9:A19" name="Диапазон3_1"/>
    <protectedRange sqref="A9:A19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PIV</cp:lastModifiedBy>
  <cp:lastPrinted>2021-11-09T08:25:13Z</cp:lastPrinted>
  <dcterms:created xsi:type="dcterms:W3CDTF">2013-11-15T09:40:24Z</dcterms:created>
  <dcterms:modified xsi:type="dcterms:W3CDTF">2021-11-09T08:25:57Z</dcterms:modified>
</cp:coreProperties>
</file>