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 refMode="R1C1"/>
</workbook>
</file>

<file path=xl/calcChain.xml><?xml version="1.0" encoding="utf-8"?>
<calcChain xmlns="http://schemas.openxmlformats.org/spreadsheetml/2006/main">
  <c r="D17" i="2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8"/>
  <c r="EX18" s="1"/>
  <c r="EW12"/>
  <c r="EX12" s="1"/>
  <c r="EW17"/>
  <c r="EX17" s="1"/>
  <c r="EW13"/>
  <c r="EX13" s="1"/>
  <c r="EW9"/>
  <c r="EX9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s="1"/>
  <c r="GI14" l="1"/>
  <c r="GJ14" s="1"/>
  <c r="GK14" s="1"/>
  <c r="GL14" s="1"/>
  <c r="GI12"/>
  <c r="GJ12" s="1"/>
  <c r="GK12" s="1"/>
  <c r="GL12" s="1"/>
  <c r="GI19"/>
  <c r="GJ19" s="1"/>
  <c r="GK19" s="1"/>
  <c r="GL19" s="1"/>
  <c r="GI18"/>
  <c r="GJ18" s="1"/>
  <c r="GK18" s="1"/>
  <c r="GL18" s="1"/>
  <c r="GI16"/>
  <c r="GJ16" s="1"/>
  <c r="GK16" s="1"/>
  <c r="GL16" s="1"/>
  <c r="GI11"/>
  <c r="GJ11" s="1"/>
  <c r="GK11" s="1"/>
  <c r="GL11" s="1"/>
  <c r="GI10"/>
  <c r="GJ10" s="1"/>
  <c r="GK10" s="1"/>
  <c r="GL10" s="1"/>
  <c r="GI15"/>
  <c r="GJ15" s="1"/>
  <c r="GK15" s="1"/>
  <c r="GL15" s="1"/>
  <c r="GI17"/>
  <c r="GJ17" s="1"/>
  <c r="GK17" s="1"/>
  <c r="GL17" s="1"/>
  <c r="GI9"/>
  <c r="GJ9" s="1"/>
  <c r="GI20" l="1"/>
  <c r="GK9"/>
  <c r="GL9" s="1"/>
  <c r="GJ20"/>
  <c r="GK20" s="1"/>
</calcChain>
</file>

<file path=xl/sharedStrings.xml><?xml version="1.0" encoding="utf-8"?>
<sst xmlns="http://schemas.openxmlformats.org/spreadsheetml/2006/main" count="1468" uniqueCount="203">
  <si>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</si>
  <si>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</si>
  <si>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</si>
  <si>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</si>
  <si>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</si>
  <si>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</si>
  <si>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</si>
  <si>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</si>
  <si>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</si>
  <si>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</si>
  <si>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</si>
  <si>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</si>
  <si>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</si>
  <si>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</si>
  <si>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</si>
  <si>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</si>
  <si>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</si>
  <si>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</si>
  <si>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</si>
  <si>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</si>
  <si>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</si>
  <si>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</si>
  <si>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</si>
  <si>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</si>
  <si>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</si>
  <si>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</si>
  <si>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</si>
  <si>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</si>
  <si>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</si>
  <si>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</si>
  <si>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</si>
  <si>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</si>
  <si>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</si>
  <si>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</si>
  <si>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</si>
  <si>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</si>
  <si>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</si>
  <si>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</si>
  <si>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</si>
  <si>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</si>
  <si>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</si>
  <si>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</si>
  <si>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</si>
  <si>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</si>
  <si>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</si>
  <si>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</si>
  <si>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</si>
  <si>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</si>
  <si>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</si>
  <si>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</si>
  <si>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</si>
  <si>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</si>
  <si>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</si>
  <si>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</si>
  <si>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</si>
  <si>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</si>
  <si>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</si>
  <si>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</si>
  <si>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</si>
  <si>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</si>
  <si>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</si>
  <si>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</si>
  <si>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</si>
  <si>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</si>
  <si>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</si>
  <si>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</si>
  <si>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</si>
  <si>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</si>
  <si>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</si>
  <si>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</si>
  <si>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</si>
  <si>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</si>
  <si>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</si>
  <si>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</si>
  <si>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</si>
  <si>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</si>
  <si>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</si>
  <si>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</si>
  <si>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</si>
  <si>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</si>
  <si>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</si>
  <si>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</si>
  <si>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</si>
  <si>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</si>
  <si>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</si>
  <si>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</si>
  <si>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</si>
  <si>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</si>
  <si>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</si>
  <si>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</si>
  <si>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</si>
  <si>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</si>
  <si>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</si>
  <si>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</si>
  <si>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</si>
  <si>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</si>
  <si>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</si>
  <si>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</si>
  <si>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</si>
  <si>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</si>
  <si>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</si>
  <si>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</si>
  <si>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</si>
  <si>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</si>
  <si>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</si>
  <si>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</si>
  <si>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</si>
  <si>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</si>
  <si>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</si>
  <si>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</si>
  <si>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</si>
  <si>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</si>
  <si>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</si>
  <si>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</si>
  <si>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</si>
  <si>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</si>
  <si>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</si>
  <si>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</si>
  <si>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</si>
  <si>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</si>
  <si>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</si>
  <si>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</si>
  <si>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</si>
  <si>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</si>
  <si>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</si>
  <si>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</si>
  <si>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</si>
  <si>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</si>
  <si>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</si>
  <si>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</si>
  <si>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</si>
  <si>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</si>
  <si>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</si>
  <si>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</si>
  <si>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</si>
  <si>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</si>
  <si>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</si>
  <si>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</si>
  <si>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</si>
  <si>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</si>
  <si>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</si>
  <si>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</si>
  <si>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</si>
  <si>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</si>
  <si>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</si>
  <si>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</si>
  <si>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</si>
  <si>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</si>
  <si>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</si>
  <si>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</si>
  <si>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</si>
  <si>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</si>
  <si>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</si>
  <si>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</si>
  <si>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</si>
  <si>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</si>
  <si>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</si>
  <si>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</si>
  <si>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</si>
  <si>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</si>
  <si>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</si>
  <si>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</si>
  <si>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</si>
  <si>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</si>
  <si>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</si>
  <si>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</si>
  <si>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</si>
  <si>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</si>
  <si>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</si>
  <si>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</si>
  <si>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</si>
  <si>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</si>
  <si>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</si>
  <si>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</si>
  <si>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</si>
  <si>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</si>
  <si>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</si>
  <si>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</si>
  <si>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</si>
  <si>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</si>
  <si>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</si>
  <si>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</si>
  <si>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</si>
  <si>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</si>
  <si>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</si>
  <si>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</si>
  <si>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</si>
  <si>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</si>
  <si>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</si>
  <si>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на 01.01.2021</t>
  </si>
  <si>
    <t>2024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</si>
  <si>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2024 год</t>
  </si>
  <si>
    <t>километр</t>
  </si>
  <si>
    <t>индекс</t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</si>
  <si>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</si>
  <si>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</si>
  <si>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</si>
  <si>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</si>
  <si>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</si>
  <si>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>Удаленность от районного центра на 01.01.2021г., Р1</t>
  </si>
  <si>
    <t>группа численности постоянного населения на 01.01.2021г., Р2</t>
  </si>
  <si>
    <t xml:space="preserve"> 1+(Р1i / Р1макс)</t>
  </si>
  <si>
    <t xml:space="preserve"> 1+(Р2i / Р2макс)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</si>
</sst>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b/>
      <i/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6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7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tabSelected="1" view="pageBreakPreview" zoomScale="75" zoomScaleNormal="90" zoomScaleSheetLayoutView="75" workbookViewId="0">
      <selection activeCell="F13" sqref="F13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16" t="s">
        <v>77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s="4" customFormat="1" ht="16.5">
      <c r="B3" s="209"/>
      <c r="C3" s="209"/>
      <c r="D3" s="209"/>
      <c r="E3" s="209"/>
      <c r="F3" s="209"/>
      <c r="G3" s="209"/>
    </row>
    <row r="4" spans="1:10" ht="16.5" thickBot="1">
      <c r="B4" s="5"/>
      <c r="C4" s="6"/>
      <c r="D4" s="6"/>
    </row>
    <row r="5" spans="1:10" ht="20.25" customHeight="1" thickBot="1">
      <c r="A5" s="223" t="s">
        <v>0</v>
      </c>
      <c r="B5" s="210" t="s">
        <v>7</v>
      </c>
      <c r="C5" s="213" t="s">
        <v>56</v>
      </c>
      <c r="D5" s="214"/>
      <c r="E5" s="214"/>
      <c r="F5" s="214"/>
      <c r="G5" s="214"/>
      <c r="H5" s="214"/>
      <c r="I5" s="214"/>
      <c r="J5" s="215"/>
    </row>
    <row r="6" spans="1:10" s="7" customFormat="1" ht="51.75" customHeight="1">
      <c r="A6" s="224"/>
      <c r="B6" s="211"/>
      <c r="C6" s="95" t="s">
        <v>196</v>
      </c>
      <c r="D6" s="95" t="s">
        <v>62</v>
      </c>
      <c r="E6" s="217" t="s">
        <v>73</v>
      </c>
      <c r="F6" s="218"/>
      <c r="G6" s="218"/>
      <c r="H6" s="218"/>
      <c r="I6" s="218"/>
      <c r="J6" s="219"/>
    </row>
    <row r="7" spans="1:10" s="7" customFormat="1" ht="19.5" customHeight="1" thickBot="1">
      <c r="A7" s="224"/>
      <c r="B7" s="211"/>
      <c r="C7" s="96" t="s">
        <v>189</v>
      </c>
      <c r="D7" s="98" t="s">
        <v>190</v>
      </c>
      <c r="E7" s="220"/>
      <c r="F7" s="221"/>
      <c r="G7" s="221"/>
      <c r="H7" s="221"/>
      <c r="I7" s="221"/>
      <c r="J7" s="222"/>
    </row>
    <row r="8" spans="1:10" s="7" customFormat="1" ht="66" customHeight="1" thickBot="1">
      <c r="A8" s="224"/>
      <c r="B8" s="212"/>
      <c r="C8" s="97" t="s">
        <v>1</v>
      </c>
      <c r="D8" s="97" t="s">
        <v>2</v>
      </c>
      <c r="E8" s="99" t="s">
        <v>199</v>
      </c>
      <c r="F8" s="100" t="s">
        <v>200</v>
      </c>
      <c r="G8" s="100" t="s">
        <v>71</v>
      </c>
      <c r="H8" s="100" t="s">
        <v>71</v>
      </c>
      <c r="I8" s="100" t="s">
        <v>71</v>
      </c>
      <c r="J8" s="101" t="s">
        <v>71</v>
      </c>
    </row>
    <row r="9" spans="1:10" s="8" customFormat="1" ht="24.75" thickBot="1">
      <c r="A9" s="225"/>
      <c r="B9" s="57" t="s">
        <v>3</v>
      </c>
      <c r="C9" s="55" t="s">
        <v>5</v>
      </c>
      <c r="D9" s="55" t="s">
        <v>4</v>
      </c>
      <c r="E9" s="93" t="s">
        <v>192</v>
      </c>
      <c r="F9" s="93" t="s">
        <v>193</v>
      </c>
      <c r="G9" s="93" t="s">
        <v>72</v>
      </c>
      <c r="H9" s="93" t="s">
        <v>72</v>
      </c>
      <c r="I9" s="93" t="s">
        <v>72</v>
      </c>
      <c r="J9" s="94" t="s">
        <v>72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70" t="s">
        <v>178</v>
      </c>
      <c r="C11" s="139">
        <v>1092</v>
      </c>
      <c r="D11" s="139">
        <v>4690437</v>
      </c>
      <c r="E11" s="171">
        <v>32</v>
      </c>
      <c r="F11" s="172">
        <v>4</v>
      </c>
      <c r="G11" s="129"/>
      <c r="H11" s="122"/>
      <c r="I11" s="122"/>
      <c r="J11" s="123"/>
    </row>
    <row r="12" spans="1:10" ht="37.5">
      <c r="A12" s="43">
        <v>2</v>
      </c>
      <c r="B12" s="170" t="s">
        <v>179</v>
      </c>
      <c r="C12" s="140">
        <v>2299</v>
      </c>
      <c r="D12" s="140">
        <v>2068505</v>
      </c>
      <c r="E12" s="171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70" t="s">
        <v>180</v>
      </c>
      <c r="C13" s="140">
        <v>492</v>
      </c>
      <c r="D13" s="140">
        <v>722854</v>
      </c>
      <c r="E13" s="171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70" t="s">
        <v>181</v>
      </c>
      <c r="C14" s="140">
        <v>1975</v>
      </c>
      <c r="D14" s="140">
        <v>1858151</v>
      </c>
      <c r="E14" s="171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70" t="s">
        <v>182</v>
      </c>
      <c r="C15" s="140">
        <v>2197</v>
      </c>
      <c r="D15" s="140">
        <v>5810886</v>
      </c>
      <c r="E15" s="171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70" t="s">
        <v>183</v>
      </c>
      <c r="C16" s="140">
        <v>932</v>
      </c>
      <c r="D16" s="140">
        <v>1683759</v>
      </c>
      <c r="E16" s="171">
        <v>32</v>
      </c>
      <c r="F16" s="124">
        <v>4</v>
      </c>
      <c r="G16" s="18"/>
      <c r="H16" s="125"/>
      <c r="I16" s="125"/>
      <c r="J16" s="126"/>
    </row>
    <row r="17" spans="1:10" ht="37.5">
      <c r="A17" s="43">
        <v>7</v>
      </c>
      <c r="B17" s="170" t="s">
        <v>184</v>
      </c>
      <c r="C17" s="140">
        <v>1755</v>
      </c>
      <c r="D17" s="140">
        <v>4803129</v>
      </c>
      <c r="E17" s="171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70" t="s">
        <v>185</v>
      </c>
      <c r="C18" s="141">
        <v>620</v>
      </c>
      <c r="D18" s="141">
        <v>1112360</v>
      </c>
      <c r="E18" s="171">
        <v>26</v>
      </c>
      <c r="F18" s="124">
        <v>5</v>
      </c>
      <c r="G18" s="18"/>
      <c r="H18" s="125"/>
      <c r="I18" s="125"/>
      <c r="J18" s="126"/>
    </row>
    <row r="19" spans="1:10" ht="37.5">
      <c r="A19" s="43">
        <v>9</v>
      </c>
      <c r="B19" s="170" t="s">
        <v>186</v>
      </c>
      <c r="C19" s="142">
        <v>2672</v>
      </c>
      <c r="D19" s="142">
        <v>4116872</v>
      </c>
      <c r="E19" s="171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70" t="s">
        <v>187</v>
      </c>
      <c r="C20" s="143">
        <v>2215</v>
      </c>
      <c r="D20" s="143">
        <v>5135756</v>
      </c>
      <c r="E20" s="171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70" t="s">
        <v>188</v>
      </c>
      <c r="C21" s="144">
        <v>22101</v>
      </c>
      <c r="D21" s="144">
        <v>34526436</v>
      </c>
      <c r="E21" s="171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38350</v>
      </c>
      <c r="D22" s="23">
        <f>SUM(D11:D21)</f>
        <v>66529145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D5" sqref="D5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26" t="s">
        <v>63</v>
      </c>
      <c r="B2" s="226"/>
      <c r="C2" s="226"/>
      <c r="D2" s="226"/>
      <c r="E2" s="226"/>
      <c r="F2" s="226"/>
      <c r="G2" s="226"/>
    </row>
    <row r="3" spans="1:8" ht="16.5" thickBot="1">
      <c r="B3" s="12"/>
    </row>
    <row r="4" spans="1:8" s="7" customFormat="1" ht="81" customHeight="1" thickBot="1">
      <c r="A4" s="227" t="s">
        <v>0</v>
      </c>
      <c r="B4" s="227" t="s">
        <v>61</v>
      </c>
      <c r="C4" s="87" t="s">
        <v>195</v>
      </c>
      <c r="D4" s="87" t="s">
        <v>198</v>
      </c>
      <c r="E4" s="87" t="s">
        <v>75</v>
      </c>
      <c r="F4" s="89" t="s">
        <v>75</v>
      </c>
      <c r="G4" s="229" t="s">
        <v>194</v>
      </c>
    </row>
    <row r="5" spans="1:8" s="13" customFormat="1" ht="45.75" customHeight="1" thickBot="1">
      <c r="A5" s="228"/>
      <c r="B5" s="228"/>
      <c r="C5" s="88" t="s">
        <v>201</v>
      </c>
      <c r="D5" s="88" t="s">
        <v>202</v>
      </c>
      <c r="E5" s="88" t="s">
        <v>76</v>
      </c>
      <c r="F5" s="90" t="s">
        <v>76</v>
      </c>
      <c r="G5" s="230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70" t="s">
        <v>178</v>
      </c>
      <c r="C7" s="173">
        <f>1+('Исходные данные'!E11/MAX('Исходные данные'!E$11:'Исходные данные'!E$22))</f>
        <v>1.9411764705882353</v>
      </c>
      <c r="D7" s="173">
        <f>1+('Исходные данные'!F11/MAX('Исходные данные'!F$11:'Исходные данные'!F$22))</f>
        <v>1.6666666666666665</v>
      </c>
      <c r="E7" s="149"/>
      <c r="F7" s="150"/>
      <c r="G7" s="148">
        <f>C7+D7+E7+F7</f>
        <v>3.6078431372549016</v>
      </c>
      <c r="H7" s="20"/>
    </row>
    <row r="8" spans="1:8" s="15" customFormat="1" ht="18.75">
      <c r="A8" s="85">
        <v>2</v>
      </c>
      <c r="B8" s="170" t="s">
        <v>179</v>
      </c>
      <c r="C8" s="173">
        <f>1+('Исходные данные'!E12/MAX('Исходные данные'!E$11:'Исходные данные'!E$22))</f>
        <v>1.2941176470588236</v>
      </c>
      <c r="D8" s="173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70" t="s">
        <v>180</v>
      </c>
      <c r="C9" s="173">
        <f>1+('Исходные данные'!E13/MAX('Исходные данные'!E$11:'Исходные данные'!E$22))</f>
        <v>1.4705882352941178</v>
      </c>
      <c r="D9" s="173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70" t="s">
        <v>181</v>
      </c>
      <c r="C10" s="173">
        <f>1+('Исходные данные'!E14/MAX('Исходные данные'!E$11:'Исходные данные'!E$22))</f>
        <v>1.6470588235294117</v>
      </c>
      <c r="D10" s="173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70" t="s">
        <v>182</v>
      </c>
      <c r="C11" s="173">
        <f>1+('Исходные данные'!E15/MAX('Исходные данные'!E$11:'Исходные данные'!E$22))</f>
        <v>1.3823529411764706</v>
      </c>
      <c r="D11" s="173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70" t="s">
        <v>183</v>
      </c>
      <c r="C12" s="173">
        <f>1+('Исходные данные'!E16/MAX('Исходные данные'!E$11:'Исходные данные'!E$22))</f>
        <v>1.9411764705882353</v>
      </c>
      <c r="D12" s="173">
        <f>1+('Исходные данные'!F16/MAX('Исходные данные'!F$11:'Исходные данные'!F$22))</f>
        <v>1.6666666666666665</v>
      </c>
      <c r="E12" s="146"/>
      <c r="F12" s="151"/>
      <c r="G12" s="148">
        <f t="shared" si="1"/>
        <v>3.6078431372549016</v>
      </c>
      <c r="H12" s="20"/>
    </row>
    <row r="13" spans="1:8" s="15" customFormat="1" ht="37.5">
      <c r="A13" s="86">
        <v>7</v>
      </c>
      <c r="B13" s="170" t="s">
        <v>184</v>
      </c>
      <c r="C13" s="173">
        <f>1+('Исходные данные'!E17/MAX('Исходные данные'!E$11:'Исходные данные'!E$22))</f>
        <v>1.8529411764705883</v>
      </c>
      <c r="D13" s="173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70" t="s">
        <v>185</v>
      </c>
      <c r="C14" s="173">
        <f>1+('Исходные данные'!E18/MAX('Исходные данные'!E$11:'Исходные данные'!E$22))</f>
        <v>1.7647058823529411</v>
      </c>
      <c r="D14" s="173">
        <f>1+('Исходные данные'!F18/MAX('Исходные данные'!F$11:'Исходные данные'!F$22))</f>
        <v>1.8333333333333335</v>
      </c>
      <c r="E14" s="146"/>
      <c r="F14" s="151"/>
      <c r="G14" s="148">
        <f t="shared" si="1"/>
        <v>3.5980392156862746</v>
      </c>
      <c r="H14" s="20"/>
    </row>
    <row r="15" spans="1:8" s="15" customFormat="1" ht="37.5">
      <c r="A15" s="86">
        <v>9</v>
      </c>
      <c r="B15" s="170" t="s">
        <v>186</v>
      </c>
      <c r="C15" s="173">
        <f>1+('Исходные данные'!E19/MAX('Исходные данные'!E$11:'Исходные данные'!E$22))</f>
        <v>1.2941176470588236</v>
      </c>
      <c r="D15" s="173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70" t="s">
        <v>187</v>
      </c>
      <c r="C16" s="173">
        <f>1+('Исходные данные'!E20/MAX('Исходные данные'!E$11:'Исходные данные'!E$22))</f>
        <v>2</v>
      </c>
      <c r="D16" s="173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70" t="s">
        <v>188</v>
      </c>
      <c r="C17" s="173">
        <f>1+('Исходные данные'!E21/MAX('Исходные данные'!E$11:'Исходные данные'!E$22))</f>
        <v>1</v>
      </c>
      <c r="D17" s="173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1" t="s">
        <v>87</v>
      </c>
      <c r="B19" s="231"/>
      <c r="C19" s="231"/>
      <c r="D19" s="231"/>
      <c r="E19" s="231"/>
      <c r="F19" s="231"/>
      <c r="G19" s="231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5"/>
  <sheetViews>
    <sheetView zoomScale="75" zoomScaleNormal="75" workbookViewId="0">
      <selection activeCell="Q1" sqref="Q1:GJ1048576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8"/>
      <c r="B1" s="128" t="s">
        <v>191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4" s="5" customFormat="1" ht="16.5" thickBot="1"/>
    <row r="3" spans="1:194" s="38" customFormat="1" ht="34.5" customHeight="1" thickBot="1">
      <c r="A3" s="258" t="s">
        <v>7</v>
      </c>
      <c r="B3" s="261" t="s">
        <v>58</v>
      </c>
      <c r="C3" s="264" t="s">
        <v>9</v>
      </c>
      <c r="D3" s="265"/>
      <c r="E3" s="265"/>
      <c r="F3" s="266"/>
      <c r="G3" s="232" t="s">
        <v>59</v>
      </c>
      <c r="H3" s="233"/>
      <c r="I3" s="233"/>
      <c r="J3" s="234"/>
      <c r="K3" s="240" t="s">
        <v>84</v>
      </c>
      <c r="L3" s="68" t="s">
        <v>51</v>
      </c>
      <c r="M3" s="237" t="s">
        <v>80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38"/>
      <c r="BA3" s="238"/>
      <c r="BB3" s="238"/>
      <c r="BC3" s="238"/>
      <c r="BD3" s="238"/>
      <c r="BE3" s="238"/>
      <c r="BF3" s="238"/>
      <c r="BG3" s="238"/>
      <c r="BH3" s="238"/>
      <c r="BI3" s="238"/>
      <c r="BJ3" s="238"/>
      <c r="BK3" s="238"/>
      <c r="BL3" s="238"/>
      <c r="BM3" s="238"/>
      <c r="BN3" s="238"/>
      <c r="BO3" s="238"/>
      <c r="BP3" s="238"/>
      <c r="BQ3" s="238"/>
      <c r="BR3" s="238"/>
      <c r="BS3" s="239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47" t="s">
        <v>85</v>
      </c>
      <c r="GK3" s="255" t="s">
        <v>86</v>
      </c>
      <c r="GL3" s="250" t="s">
        <v>83</v>
      </c>
    </row>
    <row r="4" spans="1:194" s="28" customFormat="1" ht="29.25" customHeight="1">
      <c r="A4" s="259"/>
      <c r="B4" s="262"/>
      <c r="C4" s="269" t="s">
        <v>10</v>
      </c>
      <c r="D4" s="270"/>
      <c r="E4" s="269" t="s">
        <v>11</v>
      </c>
      <c r="F4" s="270"/>
      <c r="G4" s="271" t="s">
        <v>197</v>
      </c>
      <c r="H4" s="253" t="s">
        <v>12</v>
      </c>
      <c r="I4" s="253" t="s">
        <v>64</v>
      </c>
      <c r="J4" s="235" t="s">
        <v>67</v>
      </c>
      <c r="K4" s="241"/>
      <c r="L4" s="273" t="s">
        <v>81</v>
      </c>
      <c r="M4" s="243" t="s">
        <v>13</v>
      </c>
      <c r="N4" s="244"/>
      <c r="O4" s="244"/>
      <c r="P4" s="244"/>
      <c r="Q4" s="245"/>
      <c r="R4" s="243" t="s">
        <v>14</v>
      </c>
      <c r="S4" s="244"/>
      <c r="T4" s="244"/>
      <c r="U4" s="244"/>
      <c r="V4" s="244"/>
      <c r="W4" s="245"/>
      <c r="X4" s="243" t="s">
        <v>15</v>
      </c>
      <c r="Y4" s="244"/>
      <c r="Z4" s="244"/>
      <c r="AA4" s="244"/>
      <c r="AB4" s="244"/>
      <c r="AC4" s="245"/>
      <c r="AD4" s="243" t="s">
        <v>16</v>
      </c>
      <c r="AE4" s="244"/>
      <c r="AF4" s="244"/>
      <c r="AG4" s="244"/>
      <c r="AH4" s="244"/>
      <c r="AI4" s="245"/>
      <c r="AJ4" s="243" t="s">
        <v>17</v>
      </c>
      <c r="AK4" s="244"/>
      <c r="AL4" s="244"/>
      <c r="AM4" s="244"/>
      <c r="AN4" s="244"/>
      <c r="AO4" s="245"/>
      <c r="AP4" s="243" t="s">
        <v>18</v>
      </c>
      <c r="AQ4" s="244"/>
      <c r="AR4" s="244"/>
      <c r="AS4" s="244"/>
      <c r="AT4" s="244"/>
      <c r="AU4" s="245"/>
      <c r="AV4" s="243" t="s">
        <v>19</v>
      </c>
      <c r="AW4" s="244"/>
      <c r="AX4" s="244"/>
      <c r="AY4" s="244"/>
      <c r="AZ4" s="244"/>
      <c r="BA4" s="245"/>
      <c r="BB4" s="243" t="s">
        <v>20</v>
      </c>
      <c r="BC4" s="244"/>
      <c r="BD4" s="244"/>
      <c r="BE4" s="244"/>
      <c r="BF4" s="244"/>
      <c r="BG4" s="245"/>
      <c r="BH4" s="243" t="s">
        <v>21</v>
      </c>
      <c r="BI4" s="244"/>
      <c r="BJ4" s="244"/>
      <c r="BK4" s="244"/>
      <c r="BL4" s="244"/>
      <c r="BM4" s="245"/>
      <c r="BN4" s="243" t="s">
        <v>22</v>
      </c>
      <c r="BO4" s="244"/>
      <c r="BP4" s="244"/>
      <c r="BQ4" s="244"/>
      <c r="BR4" s="244"/>
      <c r="BS4" s="246"/>
      <c r="BT4" s="243" t="s">
        <v>89</v>
      </c>
      <c r="BU4" s="244"/>
      <c r="BV4" s="244"/>
      <c r="BW4" s="244"/>
      <c r="BX4" s="244"/>
      <c r="BY4" s="246"/>
      <c r="BZ4" s="243" t="s">
        <v>92</v>
      </c>
      <c r="CA4" s="244"/>
      <c r="CB4" s="244"/>
      <c r="CC4" s="244"/>
      <c r="CD4" s="244"/>
      <c r="CE4" s="246"/>
      <c r="CF4" s="243" t="s">
        <v>93</v>
      </c>
      <c r="CG4" s="244"/>
      <c r="CH4" s="244"/>
      <c r="CI4" s="244"/>
      <c r="CJ4" s="244"/>
      <c r="CK4" s="246"/>
      <c r="CL4" s="243" t="s">
        <v>98</v>
      </c>
      <c r="CM4" s="244"/>
      <c r="CN4" s="244"/>
      <c r="CO4" s="244"/>
      <c r="CP4" s="244"/>
      <c r="CQ4" s="246"/>
      <c r="CR4" s="243" t="s">
        <v>101</v>
      </c>
      <c r="CS4" s="244"/>
      <c r="CT4" s="244"/>
      <c r="CU4" s="244"/>
      <c r="CV4" s="244"/>
      <c r="CW4" s="246"/>
      <c r="CX4" s="243" t="s">
        <v>104</v>
      </c>
      <c r="CY4" s="244"/>
      <c r="CZ4" s="244"/>
      <c r="DA4" s="244"/>
      <c r="DB4" s="244"/>
      <c r="DC4" s="246"/>
      <c r="DD4" s="243" t="s">
        <v>107</v>
      </c>
      <c r="DE4" s="244"/>
      <c r="DF4" s="244"/>
      <c r="DG4" s="244"/>
      <c r="DH4" s="244"/>
      <c r="DI4" s="246"/>
      <c r="DJ4" s="243" t="s">
        <v>110</v>
      </c>
      <c r="DK4" s="244"/>
      <c r="DL4" s="244"/>
      <c r="DM4" s="244"/>
      <c r="DN4" s="244"/>
      <c r="DO4" s="246"/>
      <c r="DP4" s="243" t="s">
        <v>113</v>
      </c>
      <c r="DQ4" s="244"/>
      <c r="DR4" s="244"/>
      <c r="DS4" s="244"/>
      <c r="DT4" s="244"/>
      <c r="DU4" s="246"/>
      <c r="DV4" s="243" t="s">
        <v>116</v>
      </c>
      <c r="DW4" s="244"/>
      <c r="DX4" s="244"/>
      <c r="DY4" s="244"/>
      <c r="DZ4" s="244"/>
      <c r="EA4" s="246"/>
      <c r="EB4" s="243" t="s">
        <v>138</v>
      </c>
      <c r="EC4" s="244"/>
      <c r="ED4" s="244"/>
      <c r="EE4" s="244"/>
      <c r="EF4" s="244"/>
      <c r="EG4" s="246"/>
      <c r="EH4" s="243" t="s">
        <v>142</v>
      </c>
      <c r="EI4" s="244"/>
      <c r="EJ4" s="244"/>
      <c r="EK4" s="244"/>
      <c r="EL4" s="244"/>
      <c r="EM4" s="246"/>
      <c r="EN4" s="243" t="s">
        <v>146</v>
      </c>
      <c r="EO4" s="244"/>
      <c r="EP4" s="244"/>
      <c r="EQ4" s="244"/>
      <c r="ER4" s="244"/>
      <c r="ES4" s="246"/>
      <c r="ET4" s="243" t="s">
        <v>150</v>
      </c>
      <c r="EU4" s="244"/>
      <c r="EV4" s="244"/>
      <c r="EW4" s="244"/>
      <c r="EX4" s="244"/>
      <c r="EY4" s="246"/>
      <c r="EZ4" s="243" t="s">
        <v>154</v>
      </c>
      <c r="FA4" s="244"/>
      <c r="FB4" s="244"/>
      <c r="FC4" s="244"/>
      <c r="FD4" s="244"/>
      <c r="FE4" s="246"/>
      <c r="FF4" s="243" t="s">
        <v>158</v>
      </c>
      <c r="FG4" s="244"/>
      <c r="FH4" s="244"/>
      <c r="FI4" s="244"/>
      <c r="FJ4" s="244"/>
      <c r="FK4" s="246"/>
      <c r="FL4" s="243" t="s">
        <v>162</v>
      </c>
      <c r="FM4" s="244"/>
      <c r="FN4" s="244"/>
      <c r="FO4" s="244"/>
      <c r="FP4" s="244"/>
      <c r="FQ4" s="246"/>
      <c r="FR4" s="243" t="s">
        <v>166</v>
      </c>
      <c r="FS4" s="244"/>
      <c r="FT4" s="244"/>
      <c r="FU4" s="244"/>
      <c r="FV4" s="244"/>
      <c r="FW4" s="246"/>
      <c r="FX4" s="243" t="s">
        <v>170</v>
      </c>
      <c r="FY4" s="244"/>
      <c r="FZ4" s="244"/>
      <c r="GA4" s="244"/>
      <c r="GB4" s="244"/>
      <c r="GC4" s="246"/>
      <c r="GD4" s="243" t="s">
        <v>173</v>
      </c>
      <c r="GE4" s="244"/>
      <c r="GF4" s="244"/>
      <c r="GG4" s="244"/>
      <c r="GH4" s="244"/>
      <c r="GI4" s="246"/>
      <c r="GJ4" s="248"/>
      <c r="GK4" s="256"/>
      <c r="GL4" s="251"/>
    </row>
    <row r="5" spans="1:194" s="28" customFormat="1" ht="246" customHeight="1" thickBot="1">
      <c r="A5" s="259"/>
      <c r="B5" s="263"/>
      <c r="C5" s="267" t="s">
        <v>70</v>
      </c>
      <c r="D5" s="268"/>
      <c r="E5" s="267" t="s">
        <v>78</v>
      </c>
      <c r="F5" s="268"/>
      <c r="G5" s="272"/>
      <c r="H5" s="254"/>
      <c r="I5" s="254"/>
      <c r="J5" s="236"/>
      <c r="K5" s="242"/>
      <c r="L5" s="274"/>
      <c r="M5" s="65" t="s">
        <v>57</v>
      </c>
      <c r="N5" s="136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36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36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36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36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36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36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36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36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36" t="s">
        <v>137</v>
      </c>
      <c r="BP5" s="66" t="s">
        <v>57</v>
      </c>
      <c r="BQ5" s="66" t="s">
        <v>65</v>
      </c>
      <c r="BR5" s="66" t="s">
        <v>82</v>
      </c>
      <c r="BS5" s="79" t="s">
        <v>41</v>
      </c>
      <c r="BT5" s="65" t="s">
        <v>90</v>
      </c>
      <c r="BU5" s="136" t="s">
        <v>119</v>
      </c>
      <c r="BV5" s="134" t="s">
        <v>57</v>
      </c>
      <c r="BW5" s="134" t="s">
        <v>65</v>
      </c>
      <c r="BX5" s="134" t="s">
        <v>82</v>
      </c>
      <c r="BY5" s="135" t="s">
        <v>91</v>
      </c>
      <c r="BZ5" s="65" t="s">
        <v>94</v>
      </c>
      <c r="CA5" s="136" t="s">
        <v>120</v>
      </c>
      <c r="CB5" s="134" t="s">
        <v>57</v>
      </c>
      <c r="CC5" s="134" t="s">
        <v>65</v>
      </c>
      <c r="CD5" s="134" t="s">
        <v>82</v>
      </c>
      <c r="CE5" s="135" t="s">
        <v>95</v>
      </c>
      <c r="CF5" s="65" t="s">
        <v>96</v>
      </c>
      <c r="CG5" s="136" t="s">
        <v>121</v>
      </c>
      <c r="CH5" s="134" t="s">
        <v>57</v>
      </c>
      <c r="CI5" s="134" t="s">
        <v>65</v>
      </c>
      <c r="CJ5" s="134" t="s">
        <v>82</v>
      </c>
      <c r="CK5" s="135" t="s">
        <v>97</v>
      </c>
      <c r="CL5" s="65" t="s">
        <v>99</v>
      </c>
      <c r="CM5" s="136" t="s">
        <v>122</v>
      </c>
      <c r="CN5" s="134" t="s">
        <v>57</v>
      </c>
      <c r="CO5" s="134" t="s">
        <v>65</v>
      </c>
      <c r="CP5" s="134" t="s">
        <v>82</v>
      </c>
      <c r="CQ5" s="135" t="s">
        <v>100</v>
      </c>
      <c r="CR5" s="65" t="s">
        <v>102</v>
      </c>
      <c r="CS5" s="136" t="s">
        <v>123</v>
      </c>
      <c r="CT5" s="134" t="s">
        <v>57</v>
      </c>
      <c r="CU5" s="134" t="s">
        <v>65</v>
      </c>
      <c r="CV5" s="134" t="s">
        <v>82</v>
      </c>
      <c r="CW5" s="135" t="s">
        <v>103</v>
      </c>
      <c r="CX5" s="65" t="s">
        <v>105</v>
      </c>
      <c r="CY5" s="136" t="s">
        <v>124</v>
      </c>
      <c r="CZ5" s="134" t="s">
        <v>57</v>
      </c>
      <c r="DA5" s="134" t="s">
        <v>65</v>
      </c>
      <c r="DB5" s="134" t="s">
        <v>82</v>
      </c>
      <c r="DC5" s="135" t="s">
        <v>106</v>
      </c>
      <c r="DD5" s="65" t="s">
        <v>108</v>
      </c>
      <c r="DE5" s="136" t="s">
        <v>125</v>
      </c>
      <c r="DF5" s="134" t="s">
        <v>57</v>
      </c>
      <c r="DG5" s="134" t="s">
        <v>65</v>
      </c>
      <c r="DH5" s="134" t="s">
        <v>82</v>
      </c>
      <c r="DI5" s="135" t="s">
        <v>109</v>
      </c>
      <c r="DJ5" s="65" t="s">
        <v>111</v>
      </c>
      <c r="DK5" s="134" t="s">
        <v>66</v>
      </c>
      <c r="DL5" s="134" t="s">
        <v>57</v>
      </c>
      <c r="DM5" s="134" t="s">
        <v>65</v>
      </c>
      <c r="DN5" s="134" t="s">
        <v>82</v>
      </c>
      <c r="DO5" s="135" t="s">
        <v>112</v>
      </c>
      <c r="DP5" s="65" t="s">
        <v>114</v>
      </c>
      <c r="DQ5" s="136" t="s">
        <v>126</v>
      </c>
      <c r="DR5" s="134" t="s">
        <v>57</v>
      </c>
      <c r="DS5" s="134" t="s">
        <v>65</v>
      </c>
      <c r="DT5" s="134" t="s">
        <v>82</v>
      </c>
      <c r="DU5" s="135" t="s">
        <v>115</v>
      </c>
      <c r="DV5" s="65" t="s">
        <v>118</v>
      </c>
      <c r="DW5" s="136" t="s">
        <v>127</v>
      </c>
      <c r="DX5" s="134" t="s">
        <v>57</v>
      </c>
      <c r="DY5" s="134" t="s">
        <v>65</v>
      </c>
      <c r="DZ5" s="134" t="s">
        <v>82</v>
      </c>
      <c r="EA5" s="135" t="s">
        <v>117</v>
      </c>
      <c r="EB5" s="65" t="s">
        <v>139</v>
      </c>
      <c r="EC5" s="137" t="s">
        <v>140</v>
      </c>
      <c r="ED5" s="137" t="s">
        <v>57</v>
      </c>
      <c r="EE5" s="137" t="s">
        <v>65</v>
      </c>
      <c r="EF5" s="137" t="s">
        <v>82</v>
      </c>
      <c r="EG5" s="138" t="s">
        <v>141</v>
      </c>
      <c r="EH5" s="65" t="s">
        <v>143</v>
      </c>
      <c r="EI5" s="137" t="s">
        <v>144</v>
      </c>
      <c r="EJ5" s="137" t="s">
        <v>57</v>
      </c>
      <c r="EK5" s="137" t="s">
        <v>65</v>
      </c>
      <c r="EL5" s="137" t="s">
        <v>82</v>
      </c>
      <c r="EM5" s="138" t="s">
        <v>145</v>
      </c>
      <c r="EN5" s="65" t="s">
        <v>147</v>
      </c>
      <c r="EO5" s="137" t="s">
        <v>148</v>
      </c>
      <c r="EP5" s="137" t="s">
        <v>57</v>
      </c>
      <c r="EQ5" s="137" t="s">
        <v>65</v>
      </c>
      <c r="ER5" s="137" t="s">
        <v>82</v>
      </c>
      <c r="ES5" s="138" t="s">
        <v>149</v>
      </c>
      <c r="ET5" s="65" t="s">
        <v>151</v>
      </c>
      <c r="EU5" s="137" t="s">
        <v>152</v>
      </c>
      <c r="EV5" s="137" t="s">
        <v>57</v>
      </c>
      <c r="EW5" s="137" t="s">
        <v>65</v>
      </c>
      <c r="EX5" s="137" t="s">
        <v>82</v>
      </c>
      <c r="EY5" s="138" t="s">
        <v>153</v>
      </c>
      <c r="EZ5" s="65" t="s">
        <v>155</v>
      </c>
      <c r="FA5" s="137" t="s">
        <v>156</v>
      </c>
      <c r="FB5" s="137" t="s">
        <v>57</v>
      </c>
      <c r="FC5" s="137" t="s">
        <v>65</v>
      </c>
      <c r="FD5" s="137" t="s">
        <v>82</v>
      </c>
      <c r="FE5" s="138" t="s">
        <v>157</v>
      </c>
      <c r="FF5" s="65" t="s">
        <v>159</v>
      </c>
      <c r="FG5" s="137" t="s">
        <v>160</v>
      </c>
      <c r="FH5" s="137" t="s">
        <v>57</v>
      </c>
      <c r="FI5" s="137" t="s">
        <v>65</v>
      </c>
      <c r="FJ5" s="137" t="s">
        <v>82</v>
      </c>
      <c r="FK5" s="138" t="s">
        <v>161</v>
      </c>
      <c r="FL5" s="65" t="s">
        <v>163</v>
      </c>
      <c r="FM5" s="137" t="s">
        <v>164</v>
      </c>
      <c r="FN5" s="137" t="s">
        <v>57</v>
      </c>
      <c r="FO5" s="137" t="s">
        <v>65</v>
      </c>
      <c r="FP5" s="137" t="s">
        <v>82</v>
      </c>
      <c r="FQ5" s="138" t="s">
        <v>165</v>
      </c>
      <c r="FR5" s="65" t="s">
        <v>167</v>
      </c>
      <c r="FS5" s="137" t="s">
        <v>168</v>
      </c>
      <c r="FT5" s="137" t="s">
        <v>57</v>
      </c>
      <c r="FU5" s="137" t="s">
        <v>65</v>
      </c>
      <c r="FV5" s="137" t="s">
        <v>82</v>
      </c>
      <c r="FW5" s="138" t="s">
        <v>169</v>
      </c>
      <c r="FX5" s="65" t="s">
        <v>171</v>
      </c>
      <c r="FY5" s="137" t="s">
        <v>175</v>
      </c>
      <c r="FZ5" s="137" t="s">
        <v>57</v>
      </c>
      <c r="GA5" s="137" t="s">
        <v>65</v>
      </c>
      <c r="GB5" s="137" t="s">
        <v>82</v>
      </c>
      <c r="GC5" s="138" t="s">
        <v>172</v>
      </c>
      <c r="GD5" s="65" t="s">
        <v>174</v>
      </c>
      <c r="GE5" s="137" t="s">
        <v>176</v>
      </c>
      <c r="GF5" s="137" t="s">
        <v>57</v>
      </c>
      <c r="GG5" s="137" t="s">
        <v>65</v>
      </c>
      <c r="GH5" s="137" t="s">
        <v>82</v>
      </c>
      <c r="GI5" s="138" t="s">
        <v>177</v>
      </c>
      <c r="GJ5" s="249"/>
      <c r="GK5" s="257"/>
      <c r="GL5" s="252"/>
    </row>
    <row r="6" spans="1:194" s="28" customFormat="1" ht="19.5" thickBot="1">
      <c r="A6" s="260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3" t="s">
        <v>52</v>
      </c>
      <c r="GJ6" s="161" t="s">
        <v>52</v>
      </c>
      <c r="GK6" s="159" t="s">
        <v>60</v>
      </c>
      <c r="GL6" s="80" t="s">
        <v>79</v>
      </c>
    </row>
    <row r="7" spans="1:194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60">
        <f>GJ7+1</f>
        <v>193</v>
      </c>
      <c r="GL7" s="81">
        <f>GK7+1</f>
        <v>194</v>
      </c>
    </row>
    <row r="8" spans="1:194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5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5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5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5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5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5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5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5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5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5" t="s">
        <v>4</v>
      </c>
      <c r="GI8" s="115" t="s">
        <v>4</v>
      </c>
      <c r="GJ8" s="163" t="s">
        <v>4</v>
      </c>
      <c r="GK8" s="162" t="s">
        <v>4</v>
      </c>
      <c r="GL8" s="82" t="s">
        <v>50</v>
      </c>
    </row>
    <row r="9" spans="1:194" s="1" customFormat="1" ht="37.5">
      <c r="A9" s="170" t="s">
        <v>178</v>
      </c>
      <c r="B9" s="174" t="s">
        <v>8</v>
      </c>
      <c r="C9" s="174" t="s">
        <v>8</v>
      </c>
      <c r="D9" s="174" t="s">
        <v>8</v>
      </c>
      <c r="E9" s="174" t="s">
        <v>8</v>
      </c>
      <c r="F9" s="174" t="s">
        <v>8</v>
      </c>
      <c r="G9" s="175">
        <f>'Исходные данные'!C11</f>
        <v>1092</v>
      </c>
      <c r="H9" s="176">
        <f>'Исходные данные'!D11</f>
        <v>4690437</v>
      </c>
      <c r="I9" s="177">
        <f>'Расчет КРП'!G7</f>
        <v>3.6078431372549016</v>
      </c>
      <c r="J9" s="178" t="s">
        <v>8</v>
      </c>
      <c r="K9" s="154">
        <f t="shared" ref="K9:K19" si="104">((H9/G9)/($H$20/$G$20))/I9</f>
        <v>0.68627226541859854</v>
      </c>
      <c r="L9" s="155">
        <f t="shared" ref="L9:L19" si="105">$D$20*G9/$G$20</f>
        <v>923183.57467118639</v>
      </c>
      <c r="M9" s="179">
        <f t="shared" ref="M9:M19" si="106">(((H9+L9)/G9)/$J$20)/I9</f>
        <v>0.82134609397377045</v>
      </c>
      <c r="N9" s="180" t="s">
        <v>8</v>
      </c>
      <c r="O9" s="181">
        <f t="shared" ref="O9:O19" si="107">$N$20-M9</f>
        <v>-0.26222323606552522</v>
      </c>
      <c r="P9" s="182">
        <f t="shared" ref="P9:P19" si="108">IF(O9&gt;0,G9*I9*(($H$20+$L$20)/$G$20)*O9,0)</f>
        <v>0</v>
      </c>
      <c r="Q9" s="183">
        <f t="shared" ref="Q9:Q19" si="109">IF(($F$20-P$20)&gt;0,P9,$F$20*P9/P$20)</f>
        <v>0</v>
      </c>
      <c r="R9" s="184" t="s">
        <v>8</v>
      </c>
      <c r="S9" s="185" t="s">
        <v>8</v>
      </c>
      <c r="T9" s="186">
        <f t="shared" ref="T9:T19" si="110">(((H9+L9+Q9)/G9)/$J$20)/I9</f>
        <v>0.82134609397377045</v>
      </c>
      <c r="U9" s="187">
        <f t="shared" ref="U9:U19" si="111">S$20-T9</f>
        <v>-0.15402675004159605</v>
      </c>
      <c r="V9" s="188">
        <f t="shared" ref="V9:V19" si="112">IF(U9&gt;0,$G9*$I9*(($H$20+$L$20+$Q$20)/$G$20)*U9,0)</f>
        <v>0</v>
      </c>
      <c r="W9" s="189">
        <f t="shared" ref="W9:W19" si="113">IF((R$20-V$20)&gt;0,V9,R$20*V9/V$20)</f>
        <v>0</v>
      </c>
      <c r="X9" s="190" t="s">
        <v>8</v>
      </c>
      <c r="Y9" s="185" t="s">
        <v>8</v>
      </c>
      <c r="Z9" s="186">
        <f t="shared" ref="Z9:Z19" si="114">(((H9+L9+Q9+W9)/G9)/$J$20)/I9</f>
        <v>0.82134609397377045</v>
      </c>
      <c r="AA9" s="187">
        <f t="shared" ref="AA9:AA19" si="115">Y$20-Z9</f>
        <v>-0.15402675004159605</v>
      </c>
      <c r="AB9" s="188">
        <f t="shared" ref="AB9:AB19" si="116">IF(AA9&gt;0,$G9*$I9*(($H$20+$L$20+$Q$20+$W$20)/$G$20)*AA9,0)</f>
        <v>0</v>
      </c>
      <c r="AC9" s="189">
        <f t="shared" ref="AC9:AC19" si="117">IF((X$20-AB$20)&gt;0,AB9,X$20*AB9/AB$20)</f>
        <v>0</v>
      </c>
      <c r="AD9" s="190" t="s">
        <v>8</v>
      </c>
      <c r="AE9" s="185" t="s">
        <v>8</v>
      </c>
      <c r="AF9" s="186">
        <f t="shared" ref="AF9:AF19" si="118">(((H9+L9+Q9+W9+AC9)/G9)/$J$20)/I9</f>
        <v>0.82134609397377045</v>
      </c>
      <c r="AG9" s="187">
        <f t="shared" ref="AG9:AG19" si="119">AE$20-AF9</f>
        <v>-0.15402675004159605</v>
      </c>
      <c r="AH9" s="188">
        <f t="shared" ref="AH9:AH19" si="120">IF(AG9&gt;0,$G9*$I9*(($H$20+$L$20+$Q$20+$W$20+$AC$20)/$G$20)*AG9,0)</f>
        <v>0</v>
      </c>
      <c r="AI9" s="189">
        <f t="shared" ref="AI9:AI19" si="121">IF((AD$20-AH$20)&gt;0,AH9,AD$20*AH9/AH$20)</f>
        <v>0</v>
      </c>
      <c r="AJ9" s="190" t="s">
        <v>8</v>
      </c>
      <c r="AK9" s="185" t="s">
        <v>8</v>
      </c>
      <c r="AL9" s="186">
        <f t="shared" ref="AL9:AL19" si="122">(((H9+L9+Q9+W9+AC9+AI9)/G9)/$J$20)/I9</f>
        <v>0.82134609397377045</v>
      </c>
      <c r="AM9" s="187">
        <f t="shared" ref="AM9:AM19" si="123">AK$20-AL9</f>
        <v>-0.15402675004159605</v>
      </c>
      <c r="AN9" s="188">
        <f t="shared" ref="AN9:AN19" si="124">IF(AM9&gt;0,$G9*$I9*(($H$20+$L$20+$Q$20+$W$20+$AC$20+$AI$20)/$G$20)*AM9,0)</f>
        <v>0</v>
      </c>
      <c r="AO9" s="189">
        <f t="shared" ref="AO9:AO19" si="125">IF((AJ$20-AN$20)&gt;0,AN9,AJ$20*AN9/AN$20)</f>
        <v>0</v>
      </c>
      <c r="AP9" s="190" t="s">
        <v>8</v>
      </c>
      <c r="AQ9" s="185" t="s">
        <v>8</v>
      </c>
      <c r="AR9" s="186">
        <f t="shared" ref="AR9:AR19" si="126">(((H9+L9+Q9+W9+AC9+AI9+AO9)/G9)/$J$20)/I9</f>
        <v>0.82134609397377045</v>
      </c>
      <c r="AS9" s="187">
        <f t="shared" ref="AS9:AS19" si="127">AQ$20-AR9</f>
        <v>-0.15402675004159605</v>
      </c>
      <c r="AT9" s="188">
        <f t="shared" ref="AT9:AT19" si="128">IF(AS9&gt;0,$G9*$I9*(($H$20+$L$20+$Q$20+$W$20+$AC$20+$AI$20+$AO$20)/$G$20)*AS9,0)</f>
        <v>0</v>
      </c>
      <c r="AU9" s="189">
        <f t="shared" ref="AU9:AU19" si="129">IF((AP$20-AT$20)&gt;0,AT9,AP$20*AT9/AT$20)</f>
        <v>0</v>
      </c>
      <c r="AV9" s="190" t="s">
        <v>8</v>
      </c>
      <c r="AW9" s="185" t="s">
        <v>8</v>
      </c>
      <c r="AX9" s="186">
        <f t="shared" ref="AX9:AX19" si="130">(((H9+L9+Q9+W9+AC9+AI9+AO9+AU9)/G9)/$J$20)/I9</f>
        <v>0.82134609397377045</v>
      </c>
      <c r="AY9" s="187">
        <f t="shared" ref="AY9:AY19" si="131">AW$20-AX9</f>
        <v>-0.15402675004159605</v>
      </c>
      <c r="AZ9" s="188">
        <f t="shared" ref="AZ9:AZ19" si="132">IF(AY9&gt;0,$G9*$I9*(($H$20+$L$20+$Q$20+$W$20+$AC$20+$AI$20+$AO$20+$AU$20)/$G$20)*AY9,0)</f>
        <v>0</v>
      </c>
      <c r="BA9" s="189">
        <f t="shared" ref="BA9:BA19" si="133">IF((AV$20-AZ$20)&gt;0,AZ9,AV$20*AZ9/AZ$20)</f>
        <v>0</v>
      </c>
      <c r="BB9" s="190" t="s">
        <v>8</v>
      </c>
      <c r="BC9" s="185" t="s">
        <v>8</v>
      </c>
      <c r="BD9" s="186">
        <f t="shared" ref="BD9:BD19" si="134">(((H9+L9+Q9+W9+AC9+AI9+AO9+AU9+BA9)/G9)/$J$20)/I9</f>
        <v>0.82134609397377045</v>
      </c>
      <c r="BE9" s="187">
        <f t="shared" ref="BE9:BE19" si="135">BC$20-BD9</f>
        <v>-0.15402675004159605</v>
      </c>
      <c r="BF9" s="188">
        <f t="shared" ref="BF9:BF19" si="136">IF(BE9&gt;0,$G9*$I9*(($H$20+$L$20+$Q$20+$W$20+$AC$20+$AI$20+$AO$20+$AU$20+$BA$20)/$G$20)*BE9,0)</f>
        <v>0</v>
      </c>
      <c r="BG9" s="189">
        <f t="shared" ref="BG9:BG19" si="137">IF((BB$20-BF$20)&gt;0,BF9,BB$20*BF9/BF$20)</f>
        <v>0</v>
      </c>
      <c r="BH9" s="190" t="s">
        <v>8</v>
      </c>
      <c r="BI9" s="185" t="s">
        <v>8</v>
      </c>
      <c r="BJ9" s="186">
        <f t="shared" ref="BJ9:BJ19" si="138">(((H9+L9+Q9+W9+AC9+AI9+AO9+AU9+BA9+BG9)/G9)/$J$20)/I9</f>
        <v>0.82134609397377045</v>
      </c>
      <c r="BK9" s="187">
        <f t="shared" ref="BK9:BK19" si="139">BI$20-BJ9</f>
        <v>-0.15402675004159605</v>
      </c>
      <c r="BL9" s="188">
        <f t="shared" ref="BL9:BL19" si="140">IF(BK9&gt;0,$G9*$I9*(($H$20+$L$20+$Q$20+$W$20+$AC$20+$AI$20+$AO$20+$AU$20+$BA$20+$BG$20)/$G$20)*BK9,0)</f>
        <v>0</v>
      </c>
      <c r="BM9" s="189">
        <f t="shared" ref="BM9:BM19" si="141">IF((BH$20-BL$20)&gt;0,BL9,BH$20*BL9/BL$20)</f>
        <v>0</v>
      </c>
      <c r="BN9" s="190" t="s">
        <v>8</v>
      </c>
      <c r="BO9" s="185" t="s">
        <v>8</v>
      </c>
      <c r="BP9" s="186">
        <f t="shared" ref="BP9:BP19" si="142">(((H9+L9+Q9+W9+AC9+AI9+AO9+AU9+BA9+BG9+BM9)/G9)/$J$20)/I9</f>
        <v>0.82134609397377045</v>
      </c>
      <c r="BQ9" s="187">
        <f t="shared" ref="BQ9:BQ19" si="143">BO$20-BP9</f>
        <v>-0.15402675004159605</v>
      </c>
      <c r="BR9" s="188">
        <f t="shared" ref="BR9:BR19" si="144">IF(BQ9&gt;0,$G9*$I9*(($H$20+$L$20+$Q$20+$W$20+$AC$20+$AI$20+$AO$20+$AU$20+$BA$20+$BG$20+$BM$20)/$G$20)*BQ9,0)</f>
        <v>0</v>
      </c>
      <c r="BS9" s="191">
        <f t="shared" ref="BS9:BS19" si="145">IF((BN$20-BR$20)&gt;0,BR9,BN$20*BR9/BR$20)</f>
        <v>0</v>
      </c>
      <c r="BT9" s="190" t="s">
        <v>8</v>
      </c>
      <c r="BU9" s="185" t="s">
        <v>8</v>
      </c>
      <c r="BV9" s="186">
        <f t="shared" ref="BV9:BV19" si="146">(((H9+L9+Q9+W9+AC9+AI9+AO9+AU9+BA9+BG9+BM9+BS9)/G9)/$J$20)/I9</f>
        <v>0.82134609397377045</v>
      </c>
      <c r="BW9" s="187">
        <f t="shared" ref="BW9:BW19" si="147">BU$20-BV9</f>
        <v>-0.15402675004159605</v>
      </c>
      <c r="BX9" s="188">
        <f t="shared" ref="BX9:BX19" si="148">IF(BW9&gt;0,$G9*$I9*(($H$20+$L$20+$Q$20+$W$20+$AC$20+$AI$20+$AO$20+$AU$20+$BA$20+$BG$20+$BM$20+$BS$20)/$G$20)*BW9,0)</f>
        <v>0</v>
      </c>
      <c r="BY9" s="191">
        <f t="shared" ref="BY9:BY19" si="149">IF((BT$20-BX$20)&gt;0,BX9,BT$20*BX9/BX$20)</f>
        <v>0</v>
      </c>
      <c r="BZ9" s="190" t="s">
        <v>8</v>
      </c>
      <c r="CA9" s="185" t="s">
        <v>8</v>
      </c>
      <c r="CB9" s="186">
        <f t="shared" ref="CB9:CB19" si="150">(((H9+L9+Q9+W9+AC9+AI9+AO9+AU9+BA9+BG9+BM9+BS9+BY9)/G9)/$J$20)/I9</f>
        <v>0.82134609397377045</v>
      </c>
      <c r="CC9" s="187">
        <f t="shared" ref="CC9:CC19" si="151">CA$20-CB9</f>
        <v>-0.15402675004159605</v>
      </c>
      <c r="CD9" s="188">
        <f t="shared" ref="CD9:CD19" si="152">IF(CC9&gt;0,$G9*$I9*(($H$20+$L$20+$Q$20+$W$20+$AC$20+$AI$20+$AO$20+$AU$20+$BA$20+$BG$20+$BM$20+$BS$20+$BY$20)/$G$20)*CC9,0)</f>
        <v>0</v>
      </c>
      <c r="CE9" s="191">
        <f t="shared" ref="CE9:CE19" si="153">IF((BZ$20-CD$20)&gt;0,CD9,BZ$20*CD9/CD$20)</f>
        <v>0</v>
      </c>
      <c r="CF9" s="190" t="s">
        <v>8</v>
      </c>
      <c r="CG9" s="185" t="s">
        <v>8</v>
      </c>
      <c r="CH9" s="186">
        <f t="shared" ref="CH9:CH19" si="154">(((H9+L9+Q9+W9+AC9+AI9+AO9+AU9+BA9+BG9+BM9+BS9+BY9+CE9)/G9)/$J$20)/I9</f>
        <v>0.82134609397377045</v>
      </c>
      <c r="CI9" s="187">
        <f t="shared" ref="CI9:CI19" si="155">CG$20-CH9</f>
        <v>-0.15402675004159605</v>
      </c>
      <c r="CJ9" s="188">
        <f t="shared" ref="CJ9:CJ19" si="156">IF(CI9&gt;0,$G9*$I9*(($H$20+$L$20+$Q$20+$W$20+$AC$20+$AI$20+$AO$20+$AU$20+$BA$20+$BG$20+$BM$20+$BS$20+$BY$20+$CE$20)/$G$20)*CI9,0)</f>
        <v>0</v>
      </c>
      <c r="CK9" s="191">
        <f t="shared" ref="CK9:CK19" si="157">IF((CF$20-CJ$20)&gt;0,CJ9,CF$20*CJ9/CJ$20)</f>
        <v>0</v>
      </c>
      <c r="CL9" s="190" t="s">
        <v>8</v>
      </c>
      <c r="CM9" s="185" t="s">
        <v>8</v>
      </c>
      <c r="CN9" s="186">
        <f t="shared" ref="CN9:CN19" si="158">(((H9+L9+Q9+W9+AC9+AI9+AO9+AU9+BA9+BG9+BM9+BS9+BY9+CE9+CK9)/G9)/$J$20)/I9</f>
        <v>0.82134609397377045</v>
      </c>
      <c r="CO9" s="187">
        <f t="shared" ref="CO9:CO19" si="159">CM$20-CN9</f>
        <v>-0.15402675004159605</v>
      </c>
      <c r="CP9" s="188">
        <f t="shared" ref="CP9:CP19" si="160">IF(CO9&gt;0,$G9*$I9*(($H$20+$L$20+$Q$20+$W$20+$AC$20+$AI$20+$AO$20+$AU$20+$BA$20+$BG$20+$BM$20+$BS$20+$BY$20+$CE$20+$CK$20)/$G$20)*CO9,0)</f>
        <v>0</v>
      </c>
      <c r="CQ9" s="191">
        <f t="shared" ref="CQ9:CQ19" si="161">IF((CL$20-CP$20)&gt;0,CP9,CL$20*CP9/CP$20)</f>
        <v>0</v>
      </c>
      <c r="CR9" s="190" t="s">
        <v>8</v>
      </c>
      <c r="CS9" s="185" t="s">
        <v>8</v>
      </c>
      <c r="CT9" s="186">
        <f t="shared" ref="CT9:CT19" si="162">(((H9+L9+Q9+W9+AC9+AI9+AO9+AU9+BA9+BG9+BM9+BS9+BY9+CE9+CK9+CQ9)/G9)/$J$20)/I9</f>
        <v>0.82134609397377045</v>
      </c>
      <c r="CU9" s="187">
        <f t="shared" ref="CU9:CU19" si="163">CS$20-CT9</f>
        <v>-0.15402675004159605</v>
      </c>
      <c r="CV9" s="188">
        <f t="shared" ref="CV9:CV19" si="164">IF(CU9&gt;0,$G9*$I9*(($H$20+$L$20+$Q$20+$W$20+$AC$20+$AI$20+$AO$20+$AU$20+$BA$20+$BG$20+$BM$20+$BS$20+$BY$20+$CE$20+$CK$20+$CQ$20)/$G$20)*CU9,0)</f>
        <v>0</v>
      </c>
      <c r="CW9" s="191">
        <f t="shared" ref="CW9:CW19" si="165">IF((CR$20-CV$20)&gt;0,CV9,CR$20*CV9/CV$20)</f>
        <v>0</v>
      </c>
      <c r="CX9" s="190" t="s">
        <v>8</v>
      </c>
      <c r="CY9" s="185" t="s">
        <v>8</v>
      </c>
      <c r="CZ9" s="186">
        <f t="shared" ref="CZ9:CZ19" si="166">(((H9+L9+Q9+W9+AC9+AI9+AO9+AU9+BA9+BG9+BM9+BS9+BY9+CE9+CK9+CQ9+CW9)/G9)/$J$20)/I9</f>
        <v>0.82134609397377045</v>
      </c>
      <c r="DA9" s="187">
        <f t="shared" ref="DA9:DA19" si="167">CY$20-CZ9</f>
        <v>-0.15402675004159605</v>
      </c>
      <c r="DB9" s="188">
        <f t="shared" ref="DB9:DB19" si="168">IF(DA9&gt;0,$G9*$I9*(($H$20+$L$20+$Q$20+$W$20+$AC$20+$AI$20+$AO$20+$AU$20+$BA$20+$BG$20+$BM$20+$BS$20+$BY$20+$CE$20+$CK$20+$CQ$20+$CW$20)/$G$20)*DA9,0)</f>
        <v>0</v>
      </c>
      <c r="DC9" s="191">
        <f t="shared" ref="DC9:DC19" si="169">IF((CX$20-DB$20)&gt;0,DB9,CX$20*DB9/DB$20)</f>
        <v>0</v>
      </c>
      <c r="DD9" s="190" t="s">
        <v>8</v>
      </c>
      <c r="DE9" s="185" t="s">
        <v>8</v>
      </c>
      <c r="DF9" s="186">
        <f t="shared" ref="DF9:DF19" si="170">(((H9+L9+Q9+W9+AC9+AI9+AO9+AU9+BA9+BG9+BM9+BS9+BY9+CE9+CK9+CQ9+CW9+DC9)/G9)/$J$20)/I9</f>
        <v>0.82134609397377045</v>
      </c>
      <c r="DG9" s="187">
        <f t="shared" ref="DG9:DG19" si="171">DE$20-DF9</f>
        <v>-0.15402675004159605</v>
      </c>
      <c r="DH9" s="188">
        <f t="shared" ref="DH9:DH19" si="172">IF(DG9&gt;0,$G9*$I9*(($H$20+$L$20+$Q$20+$W$20+$AC$20+$AI$20+$AO$20+$AU$20+$BA$20+$BG$20+$BM$20+$BS$20+$BY$20+$CE$20+$CK$20+$CQ$20+$CW$20+$DC$20)/$G$20)*DG9,0)</f>
        <v>0</v>
      </c>
      <c r="DI9" s="191">
        <f t="shared" ref="DI9:DI19" si="173">IF((DD$20-DH$20)&gt;0,DH9,DD$20*DH9/DH$20)</f>
        <v>0</v>
      </c>
      <c r="DJ9" s="190" t="s">
        <v>8</v>
      </c>
      <c r="DK9" s="185" t="s">
        <v>8</v>
      </c>
      <c r="DL9" s="186">
        <f t="shared" ref="DL9:DL19" si="174">(((H9+L9+Q9+W9+AC9+AI9+AO9+AU9+BA9+BG9+BM9+BS9+BY9+CE9+CK9+CQ9+CW9+DC9+DI9)/G9)/$J$20)/I9</f>
        <v>0.82134609397377045</v>
      </c>
      <c r="DM9" s="187">
        <f t="shared" ref="DM9:DM19" si="175">DK$20-DL9</f>
        <v>-0.15402675004159605</v>
      </c>
      <c r="DN9" s="188">
        <f t="shared" ref="DN9:DN19" si="176">IF(DM9&gt;0,$G9*$I9*(($H$20+$L$20+$Q$20+$W$20+$AC$20+$AI$20+$AO$20+$AU$20+$BA$20+$BG$20+$BM$20+$BS$20+$BY$20+$CE$20+$CK$20+$CQ$20+$CW$20+$DC$20+$DI$20)/$G$20)*DM9,0)</f>
        <v>0</v>
      </c>
      <c r="DO9" s="191">
        <f t="shared" ref="DO9:DO19" si="177">IF((DJ$20-DN$20)&gt;0,DN9,DJ$20*DN9/DN$20)</f>
        <v>0</v>
      </c>
      <c r="DP9" s="190" t="s">
        <v>8</v>
      </c>
      <c r="DQ9" s="185" t="s">
        <v>8</v>
      </c>
      <c r="DR9" s="186">
        <f t="shared" ref="DR9:DR19" si="178">(((H9+L9+Q9+W9+AC9+AI9+AO9+AU9+BA9+BG9+BM9+BS9+BY9+CE9+CK9+CQ9+CW9+DC9+DI9+DO9)/G9)/$J$20)/I9</f>
        <v>0.82134609397377045</v>
      </c>
      <c r="DS9" s="187">
        <f t="shared" ref="DS9:DS19" si="179">DQ$20-DR9</f>
        <v>-0.15402675004159605</v>
      </c>
      <c r="DT9" s="188">
        <f t="shared" ref="DT9:DT19" si="180">IF(DS9&gt;0,$G9*$I9*(($H$20+$L$20+$Q$20+$W$20+$AC$20+$AI$20+$AO$20+$AU$20+$BA$20+$BG$20+$BM$20+$BS$20+$BY$20+$CE$20+$CK$20+$CQ$20+$CW$20+$DC$20+$DI$20+$DO$20)/$G$20)*DS9,0)</f>
        <v>0</v>
      </c>
      <c r="DU9" s="191">
        <f t="shared" ref="DU9:DU19" si="181">IF((DP$20-DT$20)&gt;0,DT9,DP$20*DT9/DT$20)</f>
        <v>0</v>
      </c>
      <c r="DV9" s="42" t="s">
        <v>8</v>
      </c>
      <c r="DW9" s="180" t="s">
        <v>8</v>
      </c>
      <c r="DX9" s="192">
        <f t="shared" ref="DX9:DX19" si="182">((($H9+$L9+$Q9+$W9+$AC9+$AI9+$AO9+$AU9+$BA9+$BG9+$BM9+$BS9+$BY9+$CE9+$CK9+$CQ9+$CW9+$DC9+$DI9+$DO9+$DU9)/$G9)/$J$20)/$I9</f>
        <v>0.82134609397377045</v>
      </c>
      <c r="DY9" s="181">
        <f t="shared" ref="DY9:DY19" si="183">DW$20-DX9</f>
        <v>-0.15402675004159605</v>
      </c>
      <c r="DZ9" s="193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3">
        <f t="shared" ref="EA9:EA19" si="185">IF((DV$20-DZ$20)&gt;0,DZ9,DV$20*DZ9/DZ$20)</f>
        <v>0</v>
      </c>
      <c r="EB9" s="42" t="s">
        <v>8</v>
      </c>
      <c r="EC9" s="180" t="s">
        <v>8</v>
      </c>
      <c r="ED9" s="192">
        <f t="shared" ref="ED9:ED19" si="186">((($H9+$L9+$Q9+$W9+$AC9+$AI9+$AO9+$AU9+$BA9+$BG9+$BM9+$BS9+$BY9+$CE9+$CK9+$CQ9+$CW9+$DC9+$DI9+$DO9+$DU9+$EA9)/$G9)/$J$20)/$I9</f>
        <v>0.82134609397377045</v>
      </c>
      <c r="EE9" s="181">
        <f t="shared" ref="EE9:EE19" si="187">EC$20-ED9</f>
        <v>-0.15402675004159605</v>
      </c>
      <c r="EF9" s="193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3">
        <f t="shared" ref="EG9:EG19" si="189">IF((EB$20-EF$20)&gt;0,EF9,EB$20*EF9/EF$20)</f>
        <v>0</v>
      </c>
      <c r="EH9" s="42" t="s">
        <v>8</v>
      </c>
      <c r="EI9" s="180" t="s">
        <v>8</v>
      </c>
      <c r="EJ9" s="192">
        <f t="shared" ref="EJ9:EJ19" si="190">((($H9+$L9+$Q9+$W9+$AC9+$AI9+$AO9+$AU9+$BA9+$BG9+$BM9+$BS9+$BY9+$CE9+$CK9+$CQ9+$CW9+$DC9+$DI9+$DO9+$DU9+$EA9+$EG9)/$G9)/$J$20)/$I9</f>
        <v>0.82134609397377045</v>
      </c>
      <c r="EK9" s="181">
        <f t="shared" ref="EK9:EK19" si="191">EI$20-EJ9</f>
        <v>-0.15402675004159605</v>
      </c>
      <c r="EL9" s="193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3">
        <f t="shared" ref="EM9:EM19" si="193">IF((EH$20-EL$20)&gt;0,EL9,EH$20*EL9/EL$20)</f>
        <v>0</v>
      </c>
      <c r="EN9" s="190" t="s">
        <v>8</v>
      </c>
      <c r="EO9" s="185" t="s">
        <v>8</v>
      </c>
      <c r="EP9" s="194">
        <f t="shared" ref="EP9:EP19" si="194">((($H9+$L9+$Q9+$W9+$AC9+$AI9+$AO9+$AU9+$BA9+$BG9+$BM9+$BS9+$BY9+$CE9+$CK9+$CQ9+$CW9+$DC9+$DI9+$DO9+$DU9+$EA9+$EG9+$EM9)/$G9)/$J$20)/$I9</f>
        <v>0.82134609397377045</v>
      </c>
      <c r="EQ9" s="187">
        <f t="shared" ref="EQ9:EQ19" si="195">EO$20-EP9</f>
        <v>-0.15402675004159605</v>
      </c>
      <c r="ER9" s="188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9">
        <f t="shared" ref="ES9:ES19" si="197">IF((EN$20-ER$20)&gt;0,ER9,EN$20*ER9/ER$20)</f>
        <v>0</v>
      </c>
      <c r="ET9" s="42" t="s">
        <v>8</v>
      </c>
      <c r="EU9" s="180" t="s">
        <v>8</v>
      </c>
      <c r="EV9" s="192">
        <f t="shared" ref="EV9:EV19" si="198">((($H9+$L9+$Q9+$W9+$AC9+$AI9+$AO9+$AU9+$BA9+$BG9+$BM9+$BS9+$BY9+$CE9+$CK9+$CQ9+$CW9+$DC9+$DI9+$DO9+$DU9+$EA9+$EG9+$EM9+$ES9)/$G9)/$J$20)/$I9</f>
        <v>0.82134609397377045</v>
      </c>
      <c r="EW9" s="181">
        <f t="shared" ref="EW9:EW19" si="199">EU$20-EV9</f>
        <v>-0.15402675004159605</v>
      </c>
      <c r="EX9" s="193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3">
        <f t="shared" ref="EY9:EY19" si="201">IF((ET$20-EX$20)&gt;0,EX9,ET$20*EX9/EX$20)</f>
        <v>0</v>
      </c>
      <c r="EZ9" s="42" t="s">
        <v>8</v>
      </c>
      <c r="FA9" s="180" t="s">
        <v>8</v>
      </c>
      <c r="FB9" s="192">
        <f t="shared" ref="FB9:FB19" si="202">((($H9+$L9+$Q9+$W9+$AC9+$AI9+$AO9+$AU9+$BA9+$BG9+$BM9+$BS9+$BY9+$CE9+$CK9+$CQ9+$CW9+$DC9+$DI9+$DO9+$DU9+$EA9+$EG9+$EM9+$ES9+$EY9)/$G9)/$J$20)/$I9</f>
        <v>0.82134609397377045</v>
      </c>
      <c r="FC9" s="181">
        <f t="shared" ref="FC9:FC19" si="203">FA$20-FB9</f>
        <v>-0.15402675004159605</v>
      </c>
      <c r="FD9" s="193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3">
        <f t="shared" ref="FE9:FE19" si="205">IF((EZ$20-FD$20)&gt;0,FD9,EZ$20*FD9/FD$20)</f>
        <v>0</v>
      </c>
      <c r="FF9" s="42" t="s">
        <v>8</v>
      </c>
      <c r="FG9" s="180" t="s">
        <v>8</v>
      </c>
      <c r="FH9" s="192">
        <f t="shared" ref="FH9:FH19" si="206">((($H9+$L9+$Q9+$W9+$AC9+$AI9+$AO9+$AU9+$BA9+$BG9+$BM9+$BS9+$BY9+$CE9+$CK9+$CQ9+$CW9+$DC9+$DI9+$DO9+$DU9+$EA9+$EG9+$EM9+$ES9+$EY9+$FE9)/$G9)/$J$20)/$I9</f>
        <v>0.82134609397377045</v>
      </c>
      <c r="FI9" s="181">
        <f t="shared" ref="FI9:FI19" si="207">FG$20-FH9</f>
        <v>-0.15402675004159605</v>
      </c>
      <c r="FJ9" s="193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3">
        <f t="shared" ref="FK9:FK19" si="209">IF((FF$20-FJ$20)&gt;0,FJ9,FF$20*FJ9/FJ$20)</f>
        <v>0</v>
      </c>
      <c r="FL9" s="42" t="s">
        <v>8</v>
      </c>
      <c r="FM9" s="180" t="s">
        <v>8</v>
      </c>
      <c r="FN9" s="192">
        <f t="shared" ref="FN9:FN19" si="210">((($H9+$L9+$Q9+$W9+$AC9+$AI9+$AO9+$AU9+$BA9+$BG9+$BM9+$BS9+$BY9+$CE9+$CK9+$CQ9+$CW9+$DC9+$DI9+$DO9+$DU9+$EA9+$EG9+$EM9+$ES9+$EY9+$FE9+$FK9)/$G9)/$J$20)/$I9</f>
        <v>0.82134609397377045</v>
      </c>
      <c r="FO9" s="181">
        <f t="shared" ref="FO9:FO19" si="211">FM$20-FN9</f>
        <v>-0.15402675004159605</v>
      </c>
      <c r="FP9" s="193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3">
        <f t="shared" ref="FQ9:FQ19" si="213">IF((FL$20-FP$20)&gt;0,FP9,FL$20*FP9/FP$20)</f>
        <v>0</v>
      </c>
      <c r="FR9" s="42" t="s">
        <v>8</v>
      </c>
      <c r="FS9" s="180" t="s">
        <v>8</v>
      </c>
      <c r="FT9" s="192">
        <f t="shared" ref="FT9:FT19" si="214">((($H9+$L9+$Q9+$W9+$AC9+$AI9+$AO9+$AU9+$BA9+$BG9+$BM9+$BS9+$BY9+$CE9+$CK9+$CQ9+$CW9+$DC9+$DI9+$DO9+$DU9+$EA9+$EG9+$EM9+$ES9+$EY9+$FE9+$FK9+$FQ9)/$G9)/$J$20)/$I9</f>
        <v>0.82134609397377045</v>
      </c>
      <c r="FU9" s="181">
        <f t="shared" ref="FU9:FU19" si="215">FS$20-FT9</f>
        <v>-0.15402675004159605</v>
      </c>
      <c r="FV9" s="193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3">
        <f t="shared" ref="FW9:FW19" si="217">IF((FR$20-FV$20)&gt;0,FV9,FR$20*FV9/FV$20)</f>
        <v>0</v>
      </c>
      <c r="FX9" s="42" t="s">
        <v>8</v>
      </c>
      <c r="FY9" s="180" t="s">
        <v>8</v>
      </c>
      <c r="FZ9" s="192">
        <f t="shared" ref="FZ9:FZ19" si="218">((($H9+$L9+$Q9+$W9+$AC9+$AI9+$AO9+$AU9+$BA9+$BG9+$BM9+$BS9+$BY9+$CE9+$CK9+$CQ9+$CW9+$DC9+$DI9+$DO9+$DU9+$EA9+$EG9+$EM9+$ES9+$EY9+$FE9+$FK9+$FQ9+$FW9)/$G9)/$J$20)/$I9</f>
        <v>0.82134609397377045</v>
      </c>
      <c r="GA9" s="181">
        <f t="shared" ref="GA9:GA19" si="219">FY$20-FZ9</f>
        <v>-0.15402675004159605</v>
      </c>
      <c r="GB9" s="193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3">
        <f t="shared" ref="GC9:GC19" si="221">IF((FX$20-GB$20)&gt;0,GB9,FX$20*GB9/GB$20)</f>
        <v>0</v>
      </c>
      <c r="GD9" s="42" t="s">
        <v>8</v>
      </c>
      <c r="GE9" s="180" t="s">
        <v>8</v>
      </c>
      <c r="GF9" s="192">
        <f t="shared" ref="GF9:GF19" si="222">((($H9+$L9+$Q9+$W9+$AC9+$AI9+$AO9+$AU9+$BA9+$BG9+$BM9+$BS9+$BY9+$CE9+$CK9+$CQ9+$CW9+$DC9+$DI9+$DO9+$DU9+$EA9+$EG9+$EM9+$ES9+$EY9+$FE9+$FK9+$FQ9+$FW9+$GC9)/$G9)/$J$20)/$I9</f>
        <v>0.82134609397377045</v>
      </c>
      <c r="GG9" s="181">
        <f t="shared" ref="GG9:GG19" si="223">GE$20-GF9</f>
        <v>-0.15402675004159605</v>
      </c>
      <c r="GH9" s="193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5">
        <f t="shared" ref="GI9:GI19" si="225">IF((GD$20-GH$20)&gt;0,GH9,GD$20*GH9/GH$20)</f>
        <v>0</v>
      </c>
      <c r="GJ9" s="166">
        <f>Q9+W9+AC9+AI9+AO9+AU9+BA9+BG9+BM9+BS9+BY9+CE9+CK9+CQ9+CW9+DC9+DI9+DO9+DU9+EA9+EG9+EM9+ES9+EY9+FE9+FK9+FQ9+FW9+GC9+GI9</f>
        <v>0</v>
      </c>
      <c r="GK9" s="207">
        <f t="shared" ref="GK9:GK20" si="226">L9+GJ9</f>
        <v>923183.57467118639</v>
      </c>
      <c r="GL9" s="157">
        <f t="shared" ref="GL9:GL19" si="227">K9+GK9/($H$20/$G$20)/G9/I9</f>
        <v>0.82134609397377045</v>
      </c>
    </row>
    <row r="10" spans="1:194" s="27" customFormat="1" ht="18.75">
      <c r="A10" s="170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2299</v>
      </c>
      <c r="H10" s="33">
        <f>'Исходные данные'!D12</f>
        <v>2068505</v>
      </c>
      <c r="I10" s="34">
        <f>'Расчет КРП'!G8</f>
        <v>2.7941176470588234</v>
      </c>
      <c r="J10" s="116" t="s">
        <v>8</v>
      </c>
      <c r="K10" s="120">
        <f t="shared" si="104"/>
        <v>0.18562067244005759</v>
      </c>
      <c r="L10" s="75">
        <f t="shared" si="105"/>
        <v>1943588.8627921774</v>
      </c>
      <c r="M10" s="72">
        <f t="shared" si="106"/>
        <v>0.36003179141656028</v>
      </c>
      <c r="N10" s="32" t="s">
        <v>8</v>
      </c>
      <c r="O10" s="35">
        <f t="shared" si="107"/>
        <v>0.19909106649168495</v>
      </c>
      <c r="P10" s="36">
        <f t="shared" si="108"/>
        <v>3299802.4333554599</v>
      </c>
      <c r="Q10" s="77">
        <f t="shared" si="109"/>
        <v>3028982.6281595123</v>
      </c>
      <c r="R10" s="156" t="s">
        <v>8</v>
      </c>
      <c r="S10" s="32" t="s">
        <v>8</v>
      </c>
      <c r="T10" s="37">
        <f t="shared" si="110"/>
        <v>0.63184249153486871</v>
      </c>
      <c r="U10" s="35">
        <f t="shared" si="111"/>
        <v>3.5476852397305692E-2</v>
      </c>
      <c r="V10" s="52">
        <f t="shared" si="112"/>
        <v>648845.67433808011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0.63184249153486871</v>
      </c>
      <c r="AA10" s="35">
        <f t="shared" si="115"/>
        <v>3.5476852397305692E-2</v>
      </c>
      <c r="AB10" s="52">
        <f t="shared" si="116"/>
        <v>648845.67433808011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0.63184249153486871</v>
      </c>
      <c r="AG10" s="35">
        <f t="shared" si="119"/>
        <v>3.5476852397305692E-2</v>
      </c>
      <c r="AH10" s="52">
        <f t="shared" si="120"/>
        <v>648845.67433808011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0.63184249153486871</v>
      </c>
      <c r="AM10" s="35">
        <f t="shared" si="123"/>
        <v>3.5476852397305692E-2</v>
      </c>
      <c r="AN10" s="52">
        <f t="shared" si="124"/>
        <v>648845.67433808011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0.63184249153486871</v>
      </c>
      <c r="AS10" s="35">
        <f t="shared" si="127"/>
        <v>3.5476852397305692E-2</v>
      </c>
      <c r="AT10" s="52">
        <f t="shared" si="128"/>
        <v>648845.67433808011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0.63184249153486871</v>
      </c>
      <c r="AY10" s="35">
        <f t="shared" si="131"/>
        <v>3.5476852397305692E-2</v>
      </c>
      <c r="AZ10" s="52">
        <f t="shared" si="132"/>
        <v>648845.67433808011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0.63184249153486871</v>
      </c>
      <c r="BE10" s="35">
        <f t="shared" si="135"/>
        <v>3.5476852397305692E-2</v>
      </c>
      <c r="BF10" s="52">
        <f t="shared" si="136"/>
        <v>648845.67433808011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0.63184249153486871</v>
      </c>
      <c r="BK10" s="35">
        <f t="shared" si="139"/>
        <v>3.5476852397305692E-2</v>
      </c>
      <c r="BL10" s="52">
        <f t="shared" si="140"/>
        <v>648845.67433808011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0.63184249153486871</v>
      </c>
      <c r="BQ10" s="35">
        <f t="shared" si="143"/>
        <v>3.5476852397305692E-2</v>
      </c>
      <c r="BR10" s="52">
        <f t="shared" si="144"/>
        <v>648845.67433808011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0.63184249153486871</v>
      </c>
      <c r="BW10" s="35">
        <f t="shared" si="147"/>
        <v>3.5476852397305692E-2</v>
      </c>
      <c r="BX10" s="52">
        <f t="shared" si="148"/>
        <v>648845.67433808011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0.63184249153486871</v>
      </c>
      <c r="CC10" s="35">
        <f t="shared" si="151"/>
        <v>3.5476852397305692E-2</v>
      </c>
      <c r="CD10" s="52">
        <f t="shared" si="152"/>
        <v>648845.67433808011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0.63184249153486871</v>
      </c>
      <c r="CI10" s="35">
        <f t="shared" si="155"/>
        <v>3.5476852397305692E-2</v>
      </c>
      <c r="CJ10" s="52">
        <f t="shared" si="156"/>
        <v>648845.67433808011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0.63184249153486871</v>
      </c>
      <c r="CO10" s="35">
        <f t="shared" si="159"/>
        <v>3.5476852397305692E-2</v>
      </c>
      <c r="CP10" s="52">
        <f t="shared" si="160"/>
        <v>648845.67433808011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0.63184249153486871</v>
      </c>
      <c r="CU10" s="35">
        <f t="shared" si="163"/>
        <v>3.5476852397305692E-2</v>
      </c>
      <c r="CV10" s="52">
        <f t="shared" si="164"/>
        <v>648845.67433808011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0.63184249153486871</v>
      </c>
      <c r="DA10" s="35">
        <f t="shared" si="167"/>
        <v>3.5476852397305692E-2</v>
      </c>
      <c r="DB10" s="52">
        <f t="shared" si="168"/>
        <v>648845.67433808011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0.63184249153486871</v>
      </c>
      <c r="DG10" s="35">
        <f t="shared" si="171"/>
        <v>3.5476852397305692E-2</v>
      </c>
      <c r="DH10" s="52">
        <f t="shared" si="172"/>
        <v>648845.67433808011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0.63184249153486871</v>
      </c>
      <c r="DM10" s="35">
        <f t="shared" si="175"/>
        <v>3.5476852397305692E-2</v>
      </c>
      <c r="DN10" s="52">
        <f t="shared" si="176"/>
        <v>648845.67433808011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0.63184249153486871</v>
      </c>
      <c r="DS10" s="35">
        <f t="shared" si="179"/>
        <v>3.5476852397305692E-2</v>
      </c>
      <c r="DT10" s="52">
        <f t="shared" si="180"/>
        <v>648845.67433808011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0.63184249153486871</v>
      </c>
      <c r="DY10" s="35">
        <f t="shared" si="183"/>
        <v>3.5476852397305692E-2</v>
      </c>
      <c r="DZ10" s="36">
        <f t="shared" si="184"/>
        <v>648845.67433808011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0.63184249153486871</v>
      </c>
      <c r="EE10" s="35">
        <f t="shared" si="187"/>
        <v>3.5476852397305692E-2</v>
      </c>
      <c r="EF10" s="36">
        <f t="shared" si="188"/>
        <v>648845.67433808011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0.63184249153486871</v>
      </c>
      <c r="EK10" s="35">
        <f t="shared" si="191"/>
        <v>3.5476852397305692E-2</v>
      </c>
      <c r="EL10" s="36">
        <f t="shared" si="192"/>
        <v>648845.67433808011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0.63184249153486871</v>
      </c>
      <c r="EQ10" s="35">
        <f t="shared" si="195"/>
        <v>3.5476852397305692E-2</v>
      </c>
      <c r="ER10" s="36">
        <f t="shared" si="196"/>
        <v>648845.67433808011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0.63184249153486871</v>
      </c>
      <c r="EW10" s="35">
        <f t="shared" si="199"/>
        <v>3.5476852397305692E-2</v>
      </c>
      <c r="EX10" s="36">
        <f t="shared" si="200"/>
        <v>648845.67433808011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0.63184249153486871</v>
      </c>
      <c r="FC10" s="35">
        <f t="shared" si="203"/>
        <v>3.5476852397305692E-2</v>
      </c>
      <c r="FD10" s="36">
        <f t="shared" si="204"/>
        <v>648845.67433808011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0.63184249153486871</v>
      </c>
      <c r="FI10" s="35">
        <f t="shared" si="207"/>
        <v>3.5476852397305692E-2</v>
      </c>
      <c r="FJ10" s="36">
        <f t="shared" si="208"/>
        <v>648845.67433808011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0.63184249153486871</v>
      </c>
      <c r="FO10" s="35">
        <f t="shared" si="211"/>
        <v>3.5476852397305692E-2</v>
      </c>
      <c r="FP10" s="36">
        <f t="shared" si="212"/>
        <v>648845.67433808011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0.63184249153486871</v>
      </c>
      <c r="FU10" s="35">
        <f t="shared" si="215"/>
        <v>3.5476852397305692E-2</v>
      </c>
      <c r="FV10" s="36">
        <f t="shared" si="216"/>
        <v>648845.67433808011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0.63184249153486871</v>
      </c>
      <c r="GA10" s="35">
        <f t="shared" si="219"/>
        <v>3.5476852397305692E-2</v>
      </c>
      <c r="GB10" s="36">
        <f t="shared" si="220"/>
        <v>648845.67433808011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0.63184249153486871</v>
      </c>
      <c r="GG10" s="35">
        <f t="shared" si="223"/>
        <v>3.5476852397305692E-2</v>
      </c>
      <c r="GH10" s="36">
        <f t="shared" si="224"/>
        <v>648845.67433808011</v>
      </c>
      <c r="GI10" s="132">
        <f t="shared" si="225"/>
        <v>0</v>
      </c>
      <c r="GJ10" s="158">
        <f t="shared" ref="GJ10:GJ19" si="228">Q10+W10+AC10+AI10+AO10+AU10+BA10+BG10+BM10+BS10+BY10+CE10+CK10+CQ10+CW10+DC10+DI10+DO10+DU10+EA10+EG10+EM10+ES10+EY10+FE10+FK10+FQ10+FW10+GC10+GI10</f>
        <v>3028982.6281595123</v>
      </c>
      <c r="GK10" s="102">
        <f t="shared" si="226"/>
        <v>4972571.4909516899</v>
      </c>
      <c r="GL10" s="83">
        <f t="shared" si="227"/>
        <v>0.63184249153486882</v>
      </c>
    </row>
    <row r="11" spans="1:194" s="27" customFormat="1" ht="37.5">
      <c r="A11" s="170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492</v>
      </c>
      <c r="H11" s="33">
        <f>'Исходные данные'!D13</f>
        <v>722854</v>
      </c>
      <c r="I11" s="34">
        <f>'Расчет КРП'!G9</f>
        <v>3.4705882352941178</v>
      </c>
      <c r="J11" s="116" t="s">
        <v>8</v>
      </c>
      <c r="K11" s="120">
        <f t="shared" si="104"/>
        <v>0.24402584297538937</v>
      </c>
      <c r="L11" s="75">
        <f t="shared" si="105"/>
        <v>415939.85232438071</v>
      </c>
      <c r="M11" s="72">
        <f t="shared" si="106"/>
        <v>0.38444157435477716</v>
      </c>
      <c r="N11" s="32" t="s">
        <v>8</v>
      </c>
      <c r="O11" s="35">
        <f t="shared" si="107"/>
        <v>0.17468128355346807</v>
      </c>
      <c r="P11" s="36">
        <f t="shared" si="108"/>
        <v>769603.56959285389</v>
      </c>
      <c r="Q11" s="77">
        <f t="shared" si="109"/>
        <v>706441.03395483294</v>
      </c>
      <c r="R11" s="156" t="s">
        <v>8</v>
      </c>
      <c r="S11" s="32" t="s">
        <v>8</v>
      </c>
      <c r="T11" s="37">
        <f t="shared" si="110"/>
        <v>0.62292661949976313</v>
      </c>
      <c r="U11" s="35">
        <f t="shared" si="111"/>
        <v>4.4392724432411268E-2</v>
      </c>
      <c r="V11" s="52">
        <f t="shared" si="112"/>
        <v>215820.48546071703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0.62292661949976313</v>
      </c>
      <c r="AA11" s="35">
        <f t="shared" si="115"/>
        <v>4.4392724432411268E-2</v>
      </c>
      <c r="AB11" s="52">
        <f t="shared" si="116"/>
        <v>215820.48546071703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0.62292661949976313</v>
      </c>
      <c r="AG11" s="35">
        <f t="shared" si="119"/>
        <v>4.4392724432411268E-2</v>
      </c>
      <c r="AH11" s="52">
        <f t="shared" si="120"/>
        <v>215820.48546071703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0.62292661949976313</v>
      </c>
      <c r="AM11" s="35">
        <f t="shared" si="123"/>
        <v>4.4392724432411268E-2</v>
      </c>
      <c r="AN11" s="52">
        <f t="shared" si="124"/>
        <v>215820.48546071703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0.62292661949976313</v>
      </c>
      <c r="AS11" s="35">
        <f t="shared" si="127"/>
        <v>4.4392724432411268E-2</v>
      </c>
      <c r="AT11" s="52">
        <f t="shared" si="128"/>
        <v>215820.48546071703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0.62292661949976313</v>
      </c>
      <c r="AY11" s="35">
        <f t="shared" si="131"/>
        <v>4.4392724432411268E-2</v>
      </c>
      <c r="AZ11" s="52">
        <f t="shared" si="132"/>
        <v>215820.48546071703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0.62292661949976313</v>
      </c>
      <c r="BE11" s="35">
        <f t="shared" si="135"/>
        <v>4.4392724432411268E-2</v>
      </c>
      <c r="BF11" s="52">
        <f t="shared" si="136"/>
        <v>215820.48546071703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0.62292661949976313</v>
      </c>
      <c r="BK11" s="35">
        <f t="shared" si="139"/>
        <v>4.4392724432411268E-2</v>
      </c>
      <c r="BL11" s="52">
        <f t="shared" si="140"/>
        <v>215820.48546071703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0.62292661949976313</v>
      </c>
      <c r="BQ11" s="35">
        <f t="shared" si="143"/>
        <v>4.4392724432411268E-2</v>
      </c>
      <c r="BR11" s="52">
        <f t="shared" si="144"/>
        <v>215820.48546071703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0.62292661949976313</v>
      </c>
      <c r="BW11" s="35">
        <f t="shared" si="147"/>
        <v>4.4392724432411268E-2</v>
      </c>
      <c r="BX11" s="52">
        <f t="shared" si="148"/>
        <v>215820.48546071703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0.62292661949976313</v>
      </c>
      <c r="CC11" s="35">
        <f t="shared" si="151"/>
        <v>4.4392724432411268E-2</v>
      </c>
      <c r="CD11" s="52">
        <f t="shared" si="152"/>
        <v>215820.48546071703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0.62292661949976313</v>
      </c>
      <c r="CI11" s="35">
        <f t="shared" si="155"/>
        <v>4.4392724432411268E-2</v>
      </c>
      <c r="CJ11" s="52">
        <f t="shared" si="156"/>
        <v>215820.48546071703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0.62292661949976313</v>
      </c>
      <c r="CO11" s="35">
        <f t="shared" si="159"/>
        <v>4.4392724432411268E-2</v>
      </c>
      <c r="CP11" s="52">
        <f t="shared" si="160"/>
        <v>215820.48546071703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0.62292661949976313</v>
      </c>
      <c r="CU11" s="35">
        <f t="shared" si="163"/>
        <v>4.4392724432411268E-2</v>
      </c>
      <c r="CV11" s="52">
        <f t="shared" si="164"/>
        <v>215820.48546071703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0.62292661949976313</v>
      </c>
      <c r="DA11" s="35">
        <f t="shared" si="167"/>
        <v>4.4392724432411268E-2</v>
      </c>
      <c r="DB11" s="52">
        <f t="shared" si="168"/>
        <v>215820.48546071703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0.62292661949976313</v>
      </c>
      <c r="DG11" s="35">
        <f t="shared" si="171"/>
        <v>4.4392724432411268E-2</v>
      </c>
      <c r="DH11" s="52">
        <f t="shared" si="172"/>
        <v>215820.48546071703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0.62292661949976313</v>
      </c>
      <c r="DM11" s="35">
        <f t="shared" si="175"/>
        <v>4.4392724432411268E-2</v>
      </c>
      <c r="DN11" s="52">
        <f t="shared" si="176"/>
        <v>215820.48546071703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0.62292661949976313</v>
      </c>
      <c r="DS11" s="35">
        <f t="shared" si="179"/>
        <v>4.4392724432411268E-2</v>
      </c>
      <c r="DT11" s="52">
        <f t="shared" si="180"/>
        <v>215820.48546071703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0.62292661949976313</v>
      </c>
      <c r="DY11" s="35">
        <f t="shared" si="183"/>
        <v>4.4392724432411268E-2</v>
      </c>
      <c r="DZ11" s="36">
        <f t="shared" si="184"/>
        <v>215820.48546071703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0.62292661949976313</v>
      </c>
      <c r="EE11" s="35">
        <f t="shared" si="187"/>
        <v>4.4392724432411268E-2</v>
      </c>
      <c r="EF11" s="36">
        <f t="shared" si="188"/>
        <v>215820.48546071703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0.62292661949976313</v>
      </c>
      <c r="EK11" s="35">
        <f t="shared" si="191"/>
        <v>4.4392724432411268E-2</v>
      </c>
      <c r="EL11" s="36">
        <f t="shared" si="192"/>
        <v>215820.48546071703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0.62292661949976313</v>
      </c>
      <c r="EQ11" s="35">
        <f t="shared" si="195"/>
        <v>4.4392724432411268E-2</v>
      </c>
      <c r="ER11" s="36">
        <f t="shared" si="196"/>
        <v>215820.48546071703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0.62292661949976313</v>
      </c>
      <c r="EW11" s="35">
        <f t="shared" si="199"/>
        <v>4.4392724432411268E-2</v>
      </c>
      <c r="EX11" s="36">
        <f t="shared" si="200"/>
        <v>215820.48546071703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0.62292661949976313</v>
      </c>
      <c r="FC11" s="35">
        <f t="shared" si="203"/>
        <v>4.4392724432411268E-2</v>
      </c>
      <c r="FD11" s="36">
        <f t="shared" si="204"/>
        <v>215820.48546071703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0.62292661949976313</v>
      </c>
      <c r="FI11" s="35">
        <f t="shared" si="207"/>
        <v>4.4392724432411268E-2</v>
      </c>
      <c r="FJ11" s="36">
        <f t="shared" si="208"/>
        <v>215820.48546071703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0.62292661949976313</v>
      </c>
      <c r="FO11" s="35">
        <f t="shared" si="211"/>
        <v>4.4392724432411268E-2</v>
      </c>
      <c r="FP11" s="36">
        <f t="shared" si="212"/>
        <v>215820.48546071703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0.62292661949976313</v>
      </c>
      <c r="FU11" s="35">
        <f t="shared" si="215"/>
        <v>4.4392724432411268E-2</v>
      </c>
      <c r="FV11" s="36">
        <f t="shared" si="216"/>
        <v>215820.48546071703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0.62292661949976313</v>
      </c>
      <c r="GA11" s="35">
        <f t="shared" si="219"/>
        <v>4.4392724432411268E-2</v>
      </c>
      <c r="GB11" s="36">
        <f t="shared" si="220"/>
        <v>215820.48546071703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0.62292661949976313</v>
      </c>
      <c r="GG11" s="35">
        <f t="shared" si="223"/>
        <v>4.4392724432411268E-2</v>
      </c>
      <c r="GH11" s="36">
        <f t="shared" si="224"/>
        <v>215820.48546071703</v>
      </c>
      <c r="GI11" s="132">
        <f t="shared" si="225"/>
        <v>0</v>
      </c>
      <c r="GJ11" s="158">
        <f t="shared" si="228"/>
        <v>706441.03395483294</v>
      </c>
      <c r="GK11" s="102">
        <f t="shared" si="226"/>
        <v>1122380.8862792137</v>
      </c>
      <c r="GL11" s="83">
        <f t="shared" si="227"/>
        <v>0.62292661949976325</v>
      </c>
    </row>
    <row r="12" spans="1:194" s="27" customFormat="1" ht="37.5">
      <c r="A12" s="170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1975</v>
      </c>
      <c r="H12" s="33">
        <f>'Исходные данные'!D14</f>
        <v>1858151</v>
      </c>
      <c r="I12" s="34">
        <f>'Расчет КРП'!G10</f>
        <v>3.1470588235294117</v>
      </c>
      <c r="J12" s="116" t="s">
        <v>8</v>
      </c>
      <c r="K12" s="120">
        <f t="shared" si="104"/>
        <v>0.17233062732534235</v>
      </c>
      <c r="L12" s="75">
        <f t="shared" si="105"/>
        <v>1669677.2527249022</v>
      </c>
      <c r="M12" s="72">
        <f t="shared" si="106"/>
        <v>0.32718162080915314</v>
      </c>
      <c r="N12" s="32" t="s">
        <v>8</v>
      </c>
      <c r="O12" s="35">
        <f t="shared" si="107"/>
        <v>0.23194123709909209</v>
      </c>
      <c r="P12" s="36">
        <f t="shared" si="108"/>
        <v>3719653.0731922342</v>
      </c>
      <c r="Q12" s="77">
        <f t="shared" si="109"/>
        <v>3414375.4873295915</v>
      </c>
      <c r="R12" s="156" t="s">
        <v>8</v>
      </c>
      <c r="S12" s="32" t="s">
        <v>8</v>
      </c>
      <c r="T12" s="37">
        <f t="shared" si="110"/>
        <v>0.64384128391284068</v>
      </c>
      <c r="U12" s="35">
        <f t="shared" si="111"/>
        <v>2.3478060019333724E-2</v>
      </c>
      <c r="V12" s="52">
        <f t="shared" si="112"/>
        <v>415476.86138236738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0.64384128391284068</v>
      </c>
      <c r="AA12" s="35">
        <f t="shared" si="115"/>
        <v>2.3478060019333724E-2</v>
      </c>
      <c r="AB12" s="52">
        <f t="shared" si="116"/>
        <v>415476.86138236738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0.64384128391284068</v>
      </c>
      <c r="AG12" s="35">
        <f t="shared" si="119"/>
        <v>2.3478060019333724E-2</v>
      </c>
      <c r="AH12" s="52">
        <f t="shared" si="120"/>
        <v>415476.86138236738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0.64384128391284068</v>
      </c>
      <c r="AM12" s="35">
        <f t="shared" si="123"/>
        <v>2.3478060019333724E-2</v>
      </c>
      <c r="AN12" s="52">
        <f t="shared" si="124"/>
        <v>415476.86138236738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0.64384128391284068</v>
      </c>
      <c r="AS12" s="35">
        <f t="shared" si="127"/>
        <v>2.3478060019333724E-2</v>
      </c>
      <c r="AT12" s="52">
        <f t="shared" si="128"/>
        <v>415476.86138236738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0.64384128391284068</v>
      </c>
      <c r="AY12" s="35">
        <f t="shared" si="131"/>
        <v>2.3478060019333724E-2</v>
      </c>
      <c r="AZ12" s="52">
        <f t="shared" si="132"/>
        <v>415476.86138236738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0.64384128391284068</v>
      </c>
      <c r="BE12" s="35">
        <f t="shared" si="135"/>
        <v>2.3478060019333724E-2</v>
      </c>
      <c r="BF12" s="52">
        <f t="shared" si="136"/>
        <v>415476.86138236738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0.64384128391284068</v>
      </c>
      <c r="BK12" s="35">
        <f t="shared" si="139"/>
        <v>2.3478060019333724E-2</v>
      </c>
      <c r="BL12" s="52">
        <f t="shared" si="140"/>
        <v>415476.86138236738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0.64384128391284068</v>
      </c>
      <c r="BQ12" s="35">
        <f t="shared" si="143"/>
        <v>2.3478060019333724E-2</v>
      </c>
      <c r="BR12" s="52">
        <f t="shared" si="144"/>
        <v>415476.86138236738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0.64384128391284068</v>
      </c>
      <c r="BW12" s="35">
        <f t="shared" si="147"/>
        <v>2.3478060019333724E-2</v>
      </c>
      <c r="BX12" s="52">
        <f t="shared" si="148"/>
        <v>415476.86138236738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0.64384128391284068</v>
      </c>
      <c r="CC12" s="35">
        <f t="shared" si="151"/>
        <v>2.3478060019333724E-2</v>
      </c>
      <c r="CD12" s="52">
        <f t="shared" si="152"/>
        <v>415476.86138236738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0.64384128391284068</v>
      </c>
      <c r="CI12" s="35">
        <f t="shared" si="155"/>
        <v>2.3478060019333724E-2</v>
      </c>
      <c r="CJ12" s="52">
        <f t="shared" si="156"/>
        <v>415476.86138236738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0.64384128391284068</v>
      </c>
      <c r="CO12" s="35">
        <f t="shared" si="159"/>
        <v>2.3478060019333724E-2</v>
      </c>
      <c r="CP12" s="52">
        <f t="shared" si="160"/>
        <v>415476.86138236738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0.64384128391284068</v>
      </c>
      <c r="CU12" s="35">
        <f t="shared" si="163"/>
        <v>2.3478060019333724E-2</v>
      </c>
      <c r="CV12" s="52">
        <f t="shared" si="164"/>
        <v>415476.86138236738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0.64384128391284068</v>
      </c>
      <c r="DA12" s="35">
        <f t="shared" si="167"/>
        <v>2.3478060019333724E-2</v>
      </c>
      <c r="DB12" s="52">
        <f t="shared" si="168"/>
        <v>415476.86138236738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0.64384128391284068</v>
      </c>
      <c r="DG12" s="35">
        <f t="shared" si="171"/>
        <v>2.3478060019333724E-2</v>
      </c>
      <c r="DH12" s="52">
        <f t="shared" si="172"/>
        <v>415476.86138236738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0.64384128391284068</v>
      </c>
      <c r="DM12" s="35">
        <f t="shared" si="175"/>
        <v>2.3478060019333724E-2</v>
      </c>
      <c r="DN12" s="52">
        <f t="shared" si="176"/>
        <v>415476.86138236738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0.64384128391284068</v>
      </c>
      <c r="DS12" s="35">
        <f t="shared" si="179"/>
        <v>2.3478060019333724E-2</v>
      </c>
      <c r="DT12" s="52">
        <f t="shared" si="180"/>
        <v>415476.86138236738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0.64384128391284068</v>
      </c>
      <c r="DY12" s="35">
        <f t="shared" si="183"/>
        <v>2.3478060019333724E-2</v>
      </c>
      <c r="DZ12" s="36">
        <f t="shared" si="184"/>
        <v>415476.86138236738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0.64384128391284068</v>
      </c>
      <c r="EE12" s="35">
        <f t="shared" si="187"/>
        <v>2.3478060019333724E-2</v>
      </c>
      <c r="EF12" s="36">
        <f t="shared" si="188"/>
        <v>415476.86138236738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0.64384128391284068</v>
      </c>
      <c r="EK12" s="35">
        <f t="shared" si="191"/>
        <v>2.3478060019333724E-2</v>
      </c>
      <c r="EL12" s="36">
        <f t="shared" si="192"/>
        <v>415476.86138236738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0.64384128391284068</v>
      </c>
      <c r="EQ12" s="35">
        <f t="shared" si="195"/>
        <v>2.3478060019333724E-2</v>
      </c>
      <c r="ER12" s="36">
        <f t="shared" si="196"/>
        <v>415476.86138236738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0.64384128391284068</v>
      </c>
      <c r="EW12" s="35">
        <f t="shared" si="199"/>
        <v>2.3478060019333724E-2</v>
      </c>
      <c r="EX12" s="36">
        <f t="shared" si="200"/>
        <v>415476.86138236738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0.64384128391284068</v>
      </c>
      <c r="FC12" s="35">
        <f t="shared" si="203"/>
        <v>2.3478060019333724E-2</v>
      </c>
      <c r="FD12" s="36">
        <f t="shared" si="204"/>
        <v>415476.86138236738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0.64384128391284068</v>
      </c>
      <c r="FI12" s="35">
        <f t="shared" si="207"/>
        <v>2.3478060019333724E-2</v>
      </c>
      <c r="FJ12" s="36">
        <f t="shared" si="208"/>
        <v>415476.86138236738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0.64384128391284068</v>
      </c>
      <c r="FO12" s="35">
        <f t="shared" si="211"/>
        <v>2.3478060019333724E-2</v>
      </c>
      <c r="FP12" s="36">
        <f t="shared" si="212"/>
        <v>415476.86138236738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0.64384128391284068</v>
      </c>
      <c r="FU12" s="35">
        <f t="shared" si="215"/>
        <v>2.3478060019333724E-2</v>
      </c>
      <c r="FV12" s="36">
        <f t="shared" si="216"/>
        <v>415476.86138236738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0.64384128391284068</v>
      </c>
      <c r="GA12" s="35">
        <f t="shared" si="219"/>
        <v>2.3478060019333724E-2</v>
      </c>
      <c r="GB12" s="36">
        <f t="shared" si="220"/>
        <v>415476.86138236738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0.64384128391284068</v>
      </c>
      <c r="GG12" s="35">
        <f t="shared" si="223"/>
        <v>2.3478060019333724E-2</v>
      </c>
      <c r="GH12" s="36">
        <f t="shared" si="224"/>
        <v>415476.86138236738</v>
      </c>
      <c r="GI12" s="132">
        <f t="shared" si="225"/>
        <v>0</v>
      </c>
      <c r="GJ12" s="158">
        <f t="shared" si="228"/>
        <v>3414375.4873295915</v>
      </c>
      <c r="GK12" s="102">
        <f t="shared" si="226"/>
        <v>5084052.7400544938</v>
      </c>
      <c r="GL12" s="83">
        <f t="shared" si="227"/>
        <v>0.64384128391284057</v>
      </c>
    </row>
    <row r="13" spans="1:194" s="1" customFormat="1" ht="15.75" customHeight="1">
      <c r="A13" s="170" t="s">
        <v>182</v>
      </c>
      <c r="B13" s="196" t="s">
        <v>8</v>
      </c>
      <c r="C13" s="196" t="s">
        <v>8</v>
      </c>
      <c r="D13" s="196" t="s">
        <v>8</v>
      </c>
      <c r="E13" s="196" t="s">
        <v>8</v>
      </c>
      <c r="F13" s="196" t="s">
        <v>8</v>
      </c>
      <c r="G13" s="197">
        <f>'Исходные данные'!C15</f>
        <v>2197</v>
      </c>
      <c r="H13" s="171">
        <f>'Исходные данные'!D15</f>
        <v>5810886</v>
      </c>
      <c r="I13" s="198">
        <f>'Расчет КРП'!G11</f>
        <v>2.8823529411764706</v>
      </c>
      <c r="J13" s="199" t="s">
        <v>8</v>
      </c>
      <c r="K13" s="120">
        <f t="shared" si="104"/>
        <v>0.52895480421779995</v>
      </c>
      <c r="L13" s="75">
        <f t="shared" si="105"/>
        <v>1857357.4299932204</v>
      </c>
      <c r="M13" s="200">
        <f t="shared" si="106"/>
        <v>0.69802680730726685</v>
      </c>
      <c r="N13" s="201" t="s">
        <v>8</v>
      </c>
      <c r="O13" s="202">
        <f t="shared" si="107"/>
        <v>-0.13890394939902162</v>
      </c>
      <c r="P13" s="193">
        <f t="shared" si="108"/>
        <v>0</v>
      </c>
      <c r="Q13" s="203">
        <f t="shared" si="109"/>
        <v>0</v>
      </c>
      <c r="R13" s="204" t="s">
        <v>8</v>
      </c>
      <c r="S13" s="201" t="s">
        <v>8</v>
      </c>
      <c r="T13" s="205">
        <f t="shared" si="110"/>
        <v>0.69802680730726685</v>
      </c>
      <c r="U13" s="202">
        <f t="shared" si="111"/>
        <v>-3.0707463375092447E-2</v>
      </c>
      <c r="V13" s="188">
        <f t="shared" si="112"/>
        <v>0</v>
      </c>
      <c r="W13" s="203">
        <f t="shared" si="113"/>
        <v>0</v>
      </c>
      <c r="X13" s="43" t="s">
        <v>8</v>
      </c>
      <c r="Y13" s="201" t="s">
        <v>8</v>
      </c>
      <c r="Z13" s="205">
        <f t="shared" si="114"/>
        <v>0.69802680730726685</v>
      </c>
      <c r="AA13" s="202">
        <f t="shared" si="115"/>
        <v>-3.0707463375092447E-2</v>
      </c>
      <c r="AB13" s="188">
        <f t="shared" si="116"/>
        <v>0</v>
      </c>
      <c r="AC13" s="203">
        <f t="shared" si="117"/>
        <v>0</v>
      </c>
      <c r="AD13" s="43" t="s">
        <v>8</v>
      </c>
      <c r="AE13" s="201" t="s">
        <v>8</v>
      </c>
      <c r="AF13" s="205">
        <f t="shared" si="118"/>
        <v>0.69802680730726685</v>
      </c>
      <c r="AG13" s="202">
        <f t="shared" si="119"/>
        <v>-3.0707463375092447E-2</v>
      </c>
      <c r="AH13" s="188">
        <f t="shared" si="120"/>
        <v>0</v>
      </c>
      <c r="AI13" s="203">
        <f t="shared" si="121"/>
        <v>0</v>
      </c>
      <c r="AJ13" s="43" t="s">
        <v>8</v>
      </c>
      <c r="AK13" s="201" t="s">
        <v>8</v>
      </c>
      <c r="AL13" s="205">
        <f t="shared" si="122"/>
        <v>0.69802680730726685</v>
      </c>
      <c r="AM13" s="202">
        <f t="shared" si="123"/>
        <v>-3.0707463375092447E-2</v>
      </c>
      <c r="AN13" s="188">
        <f t="shared" si="124"/>
        <v>0</v>
      </c>
      <c r="AO13" s="203">
        <f t="shared" si="125"/>
        <v>0</v>
      </c>
      <c r="AP13" s="43" t="s">
        <v>8</v>
      </c>
      <c r="AQ13" s="201" t="s">
        <v>8</v>
      </c>
      <c r="AR13" s="205">
        <f t="shared" si="126"/>
        <v>0.69802680730726685</v>
      </c>
      <c r="AS13" s="202">
        <f t="shared" si="127"/>
        <v>-3.0707463375092447E-2</v>
      </c>
      <c r="AT13" s="188">
        <f t="shared" si="128"/>
        <v>0</v>
      </c>
      <c r="AU13" s="203">
        <f t="shared" si="129"/>
        <v>0</v>
      </c>
      <c r="AV13" s="43" t="s">
        <v>8</v>
      </c>
      <c r="AW13" s="201" t="s">
        <v>8</v>
      </c>
      <c r="AX13" s="205">
        <f t="shared" si="130"/>
        <v>0.69802680730726685</v>
      </c>
      <c r="AY13" s="202">
        <f t="shared" si="131"/>
        <v>-3.0707463375092447E-2</v>
      </c>
      <c r="AZ13" s="188">
        <f t="shared" si="132"/>
        <v>0</v>
      </c>
      <c r="BA13" s="203">
        <f t="shared" si="133"/>
        <v>0</v>
      </c>
      <c r="BB13" s="43" t="s">
        <v>8</v>
      </c>
      <c r="BC13" s="201" t="s">
        <v>8</v>
      </c>
      <c r="BD13" s="205">
        <f t="shared" si="134"/>
        <v>0.69802680730726685</v>
      </c>
      <c r="BE13" s="202">
        <f t="shared" si="135"/>
        <v>-3.0707463375092447E-2</v>
      </c>
      <c r="BF13" s="188">
        <f t="shared" si="136"/>
        <v>0</v>
      </c>
      <c r="BG13" s="203">
        <f t="shared" si="137"/>
        <v>0</v>
      </c>
      <c r="BH13" s="43" t="s">
        <v>8</v>
      </c>
      <c r="BI13" s="201" t="s">
        <v>8</v>
      </c>
      <c r="BJ13" s="205">
        <f t="shared" si="138"/>
        <v>0.69802680730726685</v>
      </c>
      <c r="BK13" s="202">
        <f t="shared" si="139"/>
        <v>-3.0707463375092447E-2</v>
      </c>
      <c r="BL13" s="188">
        <f t="shared" si="140"/>
        <v>0</v>
      </c>
      <c r="BM13" s="203">
        <f t="shared" si="141"/>
        <v>0</v>
      </c>
      <c r="BN13" s="43" t="s">
        <v>8</v>
      </c>
      <c r="BO13" s="201" t="s">
        <v>8</v>
      </c>
      <c r="BP13" s="205">
        <f t="shared" si="142"/>
        <v>0.69802680730726685</v>
      </c>
      <c r="BQ13" s="202">
        <f t="shared" si="143"/>
        <v>-3.0707463375092447E-2</v>
      </c>
      <c r="BR13" s="188">
        <f t="shared" si="144"/>
        <v>0</v>
      </c>
      <c r="BS13" s="206">
        <f t="shared" si="145"/>
        <v>0</v>
      </c>
      <c r="BT13" s="43" t="s">
        <v>8</v>
      </c>
      <c r="BU13" s="201" t="s">
        <v>8</v>
      </c>
      <c r="BV13" s="205">
        <f t="shared" si="146"/>
        <v>0.69802680730726685</v>
      </c>
      <c r="BW13" s="202">
        <f t="shared" si="147"/>
        <v>-3.0707463375092447E-2</v>
      </c>
      <c r="BX13" s="188">
        <f t="shared" si="148"/>
        <v>0</v>
      </c>
      <c r="BY13" s="206">
        <f t="shared" si="149"/>
        <v>0</v>
      </c>
      <c r="BZ13" s="43" t="s">
        <v>8</v>
      </c>
      <c r="CA13" s="201" t="s">
        <v>8</v>
      </c>
      <c r="CB13" s="205">
        <f t="shared" si="150"/>
        <v>0.69802680730726685</v>
      </c>
      <c r="CC13" s="202">
        <f t="shared" si="151"/>
        <v>-3.0707463375092447E-2</v>
      </c>
      <c r="CD13" s="188">
        <f t="shared" si="152"/>
        <v>0</v>
      </c>
      <c r="CE13" s="206">
        <f t="shared" si="153"/>
        <v>0</v>
      </c>
      <c r="CF13" s="43" t="s">
        <v>8</v>
      </c>
      <c r="CG13" s="201" t="s">
        <v>8</v>
      </c>
      <c r="CH13" s="205">
        <f t="shared" si="154"/>
        <v>0.69802680730726685</v>
      </c>
      <c r="CI13" s="202">
        <f t="shared" si="155"/>
        <v>-3.0707463375092447E-2</v>
      </c>
      <c r="CJ13" s="188">
        <f t="shared" si="156"/>
        <v>0</v>
      </c>
      <c r="CK13" s="206">
        <f t="shared" si="157"/>
        <v>0</v>
      </c>
      <c r="CL13" s="43" t="s">
        <v>8</v>
      </c>
      <c r="CM13" s="201" t="s">
        <v>8</v>
      </c>
      <c r="CN13" s="205">
        <f t="shared" si="158"/>
        <v>0.69802680730726685</v>
      </c>
      <c r="CO13" s="202">
        <f t="shared" si="159"/>
        <v>-3.0707463375092447E-2</v>
      </c>
      <c r="CP13" s="188">
        <f t="shared" si="160"/>
        <v>0</v>
      </c>
      <c r="CQ13" s="206">
        <f t="shared" si="161"/>
        <v>0</v>
      </c>
      <c r="CR13" s="43" t="s">
        <v>8</v>
      </c>
      <c r="CS13" s="201" t="s">
        <v>8</v>
      </c>
      <c r="CT13" s="205">
        <f t="shared" si="162"/>
        <v>0.69802680730726685</v>
      </c>
      <c r="CU13" s="202">
        <f t="shared" si="163"/>
        <v>-3.0707463375092447E-2</v>
      </c>
      <c r="CV13" s="188">
        <f t="shared" si="164"/>
        <v>0</v>
      </c>
      <c r="CW13" s="206">
        <f t="shared" si="165"/>
        <v>0</v>
      </c>
      <c r="CX13" s="43" t="s">
        <v>8</v>
      </c>
      <c r="CY13" s="201" t="s">
        <v>8</v>
      </c>
      <c r="CZ13" s="205">
        <f t="shared" si="166"/>
        <v>0.69802680730726685</v>
      </c>
      <c r="DA13" s="202">
        <f t="shared" si="167"/>
        <v>-3.0707463375092447E-2</v>
      </c>
      <c r="DB13" s="188">
        <f t="shared" si="168"/>
        <v>0</v>
      </c>
      <c r="DC13" s="206">
        <f t="shared" si="169"/>
        <v>0</v>
      </c>
      <c r="DD13" s="43" t="s">
        <v>8</v>
      </c>
      <c r="DE13" s="201" t="s">
        <v>8</v>
      </c>
      <c r="DF13" s="205">
        <f t="shared" si="170"/>
        <v>0.69802680730726685</v>
      </c>
      <c r="DG13" s="202">
        <f t="shared" si="171"/>
        <v>-3.0707463375092447E-2</v>
      </c>
      <c r="DH13" s="188">
        <f t="shared" si="172"/>
        <v>0</v>
      </c>
      <c r="DI13" s="206">
        <f t="shared" si="173"/>
        <v>0</v>
      </c>
      <c r="DJ13" s="43" t="s">
        <v>8</v>
      </c>
      <c r="DK13" s="201" t="s">
        <v>8</v>
      </c>
      <c r="DL13" s="205">
        <f t="shared" si="174"/>
        <v>0.69802680730726685</v>
      </c>
      <c r="DM13" s="202">
        <f t="shared" si="175"/>
        <v>-3.0707463375092447E-2</v>
      </c>
      <c r="DN13" s="188">
        <f t="shared" si="176"/>
        <v>0</v>
      </c>
      <c r="DO13" s="206">
        <f t="shared" si="177"/>
        <v>0</v>
      </c>
      <c r="DP13" s="43" t="s">
        <v>8</v>
      </c>
      <c r="DQ13" s="201" t="s">
        <v>8</v>
      </c>
      <c r="DR13" s="205">
        <f t="shared" si="178"/>
        <v>0.69802680730726685</v>
      </c>
      <c r="DS13" s="202">
        <f t="shared" si="179"/>
        <v>-3.0707463375092447E-2</v>
      </c>
      <c r="DT13" s="188">
        <f t="shared" si="180"/>
        <v>0</v>
      </c>
      <c r="DU13" s="206">
        <f t="shared" si="181"/>
        <v>0</v>
      </c>
      <c r="DV13" s="43" t="s">
        <v>8</v>
      </c>
      <c r="DW13" s="201" t="s">
        <v>8</v>
      </c>
      <c r="DX13" s="205">
        <f t="shared" si="182"/>
        <v>0.69802680730726685</v>
      </c>
      <c r="DY13" s="202">
        <f t="shared" si="183"/>
        <v>-3.0707463375092447E-2</v>
      </c>
      <c r="DZ13" s="193">
        <f t="shared" si="184"/>
        <v>0</v>
      </c>
      <c r="EA13" s="203">
        <f t="shared" si="185"/>
        <v>0</v>
      </c>
      <c r="EB13" s="43" t="s">
        <v>8</v>
      </c>
      <c r="EC13" s="201" t="s">
        <v>8</v>
      </c>
      <c r="ED13" s="205">
        <f t="shared" si="186"/>
        <v>0.69802680730726685</v>
      </c>
      <c r="EE13" s="202">
        <f t="shared" si="187"/>
        <v>-3.0707463375092447E-2</v>
      </c>
      <c r="EF13" s="193">
        <f t="shared" si="188"/>
        <v>0</v>
      </c>
      <c r="EG13" s="203">
        <f t="shared" si="189"/>
        <v>0</v>
      </c>
      <c r="EH13" s="43" t="s">
        <v>8</v>
      </c>
      <c r="EI13" s="201" t="s">
        <v>8</v>
      </c>
      <c r="EJ13" s="205">
        <f t="shared" si="190"/>
        <v>0.69802680730726685</v>
      </c>
      <c r="EK13" s="202">
        <f t="shared" si="191"/>
        <v>-3.0707463375092447E-2</v>
      </c>
      <c r="EL13" s="193">
        <f t="shared" si="192"/>
        <v>0</v>
      </c>
      <c r="EM13" s="203">
        <f t="shared" si="193"/>
        <v>0</v>
      </c>
      <c r="EN13" s="43" t="s">
        <v>8</v>
      </c>
      <c r="EO13" s="201" t="s">
        <v>8</v>
      </c>
      <c r="EP13" s="205">
        <f t="shared" si="194"/>
        <v>0.69802680730726685</v>
      </c>
      <c r="EQ13" s="202">
        <f t="shared" si="195"/>
        <v>-3.0707463375092447E-2</v>
      </c>
      <c r="ER13" s="193">
        <f t="shared" si="196"/>
        <v>0</v>
      </c>
      <c r="ES13" s="203">
        <f t="shared" si="197"/>
        <v>0</v>
      </c>
      <c r="ET13" s="43" t="s">
        <v>8</v>
      </c>
      <c r="EU13" s="201" t="s">
        <v>8</v>
      </c>
      <c r="EV13" s="205">
        <f t="shared" si="198"/>
        <v>0.69802680730726685</v>
      </c>
      <c r="EW13" s="202">
        <f t="shared" si="199"/>
        <v>-3.0707463375092447E-2</v>
      </c>
      <c r="EX13" s="193">
        <f t="shared" si="200"/>
        <v>0</v>
      </c>
      <c r="EY13" s="203">
        <f t="shared" si="201"/>
        <v>0</v>
      </c>
      <c r="EZ13" s="43" t="s">
        <v>8</v>
      </c>
      <c r="FA13" s="201" t="s">
        <v>8</v>
      </c>
      <c r="FB13" s="205">
        <f t="shared" si="202"/>
        <v>0.69802680730726685</v>
      </c>
      <c r="FC13" s="202">
        <f t="shared" si="203"/>
        <v>-3.0707463375092447E-2</v>
      </c>
      <c r="FD13" s="193">
        <f t="shared" si="204"/>
        <v>0</v>
      </c>
      <c r="FE13" s="203">
        <f t="shared" si="205"/>
        <v>0</v>
      </c>
      <c r="FF13" s="43" t="s">
        <v>8</v>
      </c>
      <c r="FG13" s="201" t="s">
        <v>8</v>
      </c>
      <c r="FH13" s="205">
        <f t="shared" si="206"/>
        <v>0.69802680730726685</v>
      </c>
      <c r="FI13" s="202">
        <f t="shared" si="207"/>
        <v>-3.0707463375092447E-2</v>
      </c>
      <c r="FJ13" s="193">
        <f t="shared" si="208"/>
        <v>0</v>
      </c>
      <c r="FK13" s="203">
        <f t="shared" si="209"/>
        <v>0</v>
      </c>
      <c r="FL13" s="43" t="s">
        <v>8</v>
      </c>
      <c r="FM13" s="201" t="s">
        <v>8</v>
      </c>
      <c r="FN13" s="205">
        <f t="shared" si="210"/>
        <v>0.69802680730726685</v>
      </c>
      <c r="FO13" s="202">
        <f t="shared" si="211"/>
        <v>-3.0707463375092447E-2</v>
      </c>
      <c r="FP13" s="193">
        <f t="shared" si="212"/>
        <v>0</v>
      </c>
      <c r="FQ13" s="203">
        <f t="shared" si="213"/>
        <v>0</v>
      </c>
      <c r="FR13" s="43" t="s">
        <v>8</v>
      </c>
      <c r="FS13" s="201" t="s">
        <v>8</v>
      </c>
      <c r="FT13" s="205">
        <f t="shared" si="214"/>
        <v>0.69802680730726685</v>
      </c>
      <c r="FU13" s="202">
        <f t="shared" si="215"/>
        <v>-3.0707463375092447E-2</v>
      </c>
      <c r="FV13" s="193">
        <f t="shared" si="216"/>
        <v>0</v>
      </c>
      <c r="FW13" s="203">
        <f t="shared" si="217"/>
        <v>0</v>
      </c>
      <c r="FX13" s="43" t="s">
        <v>8</v>
      </c>
      <c r="FY13" s="201" t="s">
        <v>8</v>
      </c>
      <c r="FZ13" s="205">
        <f t="shared" si="218"/>
        <v>0.69802680730726685</v>
      </c>
      <c r="GA13" s="202">
        <f t="shared" si="219"/>
        <v>-3.0707463375092447E-2</v>
      </c>
      <c r="GB13" s="193">
        <f t="shared" si="220"/>
        <v>0</v>
      </c>
      <c r="GC13" s="203">
        <f t="shared" si="221"/>
        <v>0</v>
      </c>
      <c r="GD13" s="43" t="s">
        <v>8</v>
      </c>
      <c r="GE13" s="201" t="s">
        <v>8</v>
      </c>
      <c r="GF13" s="205">
        <f t="shared" si="222"/>
        <v>0.69802680730726685</v>
      </c>
      <c r="GG13" s="202">
        <f t="shared" si="223"/>
        <v>-3.0707463375092447E-2</v>
      </c>
      <c r="GH13" s="193">
        <f t="shared" si="224"/>
        <v>0</v>
      </c>
      <c r="GI13" s="206">
        <f t="shared" si="225"/>
        <v>0</v>
      </c>
      <c r="GJ13" s="158">
        <f t="shared" si="228"/>
        <v>0</v>
      </c>
      <c r="GK13" s="208">
        <f t="shared" si="226"/>
        <v>1857357.4299932204</v>
      </c>
      <c r="GL13" s="83">
        <f t="shared" si="227"/>
        <v>0.69802680730726685</v>
      </c>
    </row>
    <row r="14" spans="1:194" s="27" customFormat="1" ht="37.5">
      <c r="A14" s="170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932</v>
      </c>
      <c r="H14" s="33">
        <f>'Исходные данные'!D16</f>
        <v>1683759</v>
      </c>
      <c r="I14" s="34">
        <f>'Расчет КРП'!G12</f>
        <v>3.6078431372549016</v>
      </c>
      <c r="J14" s="116" t="s">
        <v>8</v>
      </c>
      <c r="K14" s="120">
        <f t="shared" si="104"/>
        <v>0.28864882701945377</v>
      </c>
      <c r="L14" s="75">
        <f t="shared" si="105"/>
        <v>787918.58204537164</v>
      </c>
      <c r="M14" s="72">
        <f t="shared" si="106"/>
        <v>0.42372265557462574</v>
      </c>
      <c r="N14" s="32" t="s">
        <v>8</v>
      </c>
      <c r="O14" s="35">
        <f t="shared" si="107"/>
        <v>0.13540020233361949</v>
      </c>
      <c r="P14" s="36">
        <f t="shared" si="108"/>
        <v>1174722.7473255708</v>
      </c>
      <c r="Q14" s="77">
        <f t="shared" si="109"/>
        <v>1078311.4645244805</v>
      </c>
      <c r="R14" s="156" t="s">
        <v>8</v>
      </c>
      <c r="S14" s="32" t="s">
        <v>8</v>
      </c>
      <c r="T14" s="37">
        <f t="shared" si="110"/>
        <v>0.60857888464103038</v>
      </c>
      <c r="U14" s="35">
        <f t="shared" si="111"/>
        <v>5.874045929114402E-2</v>
      </c>
      <c r="V14" s="52">
        <f t="shared" si="112"/>
        <v>562358.89678791969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0.60857888464103038</v>
      </c>
      <c r="AA14" s="35">
        <f t="shared" si="115"/>
        <v>5.874045929114402E-2</v>
      </c>
      <c r="AB14" s="52">
        <f t="shared" si="116"/>
        <v>562358.89678791969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0.60857888464103038</v>
      </c>
      <c r="AG14" s="35">
        <f t="shared" si="119"/>
        <v>5.874045929114402E-2</v>
      </c>
      <c r="AH14" s="52">
        <f t="shared" si="120"/>
        <v>562358.89678791969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0.60857888464103038</v>
      </c>
      <c r="AM14" s="35">
        <f t="shared" si="123"/>
        <v>5.874045929114402E-2</v>
      </c>
      <c r="AN14" s="52">
        <f t="shared" si="124"/>
        <v>562358.89678791969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0.60857888464103038</v>
      </c>
      <c r="AS14" s="35">
        <f t="shared" si="127"/>
        <v>5.874045929114402E-2</v>
      </c>
      <c r="AT14" s="52">
        <f t="shared" si="128"/>
        <v>562358.89678791969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0.60857888464103038</v>
      </c>
      <c r="AY14" s="35">
        <f t="shared" si="131"/>
        <v>5.874045929114402E-2</v>
      </c>
      <c r="AZ14" s="52">
        <f t="shared" si="132"/>
        <v>562358.89678791969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0.60857888464103038</v>
      </c>
      <c r="BE14" s="35">
        <f t="shared" si="135"/>
        <v>5.874045929114402E-2</v>
      </c>
      <c r="BF14" s="52">
        <f t="shared" si="136"/>
        <v>562358.89678791969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0.60857888464103038</v>
      </c>
      <c r="BK14" s="35">
        <f t="shared" si="139"/>
        <v>5.874045929114402E-2</v>
      </c>
      <c r="BL14" s="52">
        <f t="shared" si="140"/>
        <v>562358.89678791969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0.60857888464103038</v>
      </c>
      <c r="BQ14" s="35">
        <f t="shared" si="143"/>
        <v>5.874045929114402E-2</v>
      </c>
      <c r="BR14" s="52">
        <f t="shared" si="144"/>
        <v>562358.89678791969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0.60857888464103038</v>
      </c>
      <c r="BW14" s="35">
        <f t="shared" si="147"/>
        <v>5.874045929114402E-2</v>
      </c>
      <c r="BX14" s="52">
        <f t="shared" si="148"/>
        <v>562358.89678791969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0.60857888464103038</v>
      </c>
      <c r="CC14" s="35">
        <f t="shared" si="151"/>
        <v>5.874045929114402E-2</v>
      </c>
      <c r="CD14" s="52">
        <f t="shared" si="152"/>
        <v>562358.89678791969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0.60857888464103038</v>
      </c>
      <c r="CI14" s="35">
        <f t="shared" si="155"/>
        <v>5.874045929114402E-2</v>
      </c>
      <c r="CJ14" s="52">
        <f t="shared" si="156"/>
        <v>562358.89678791969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0.60857888464103038</v>
      </c>
      <c r="CO14" s="35">
        <f t="shared" si="159"/>
        <v>5.874045929114402E-2</v>
      </c>
      <c r="CP14" s="52">
        <f t="shared" si="160"/>
        <v>562358.89678791969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0.60857888464103038</v>
      </c>
      <c r="CU14" s="35">
        <f t="shared" si="163"/>
        <v>5.874045929114402E-2</v>
      </c>
      <c r="CV14" s="52">
        <f t="shared" si="164"/>
        <v>562358.89678791969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0.60857888464103038</v>
      </c>
      <c r="DA14" s="35">
        <f t="shared" si="167"/>
        <v>5.874045929114402E-2</v>
      </c>
      <c r="DB14" s="52">
        <f t="shared" si="168"/>
        <v>562358.89678791969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0.60857888464103038</v>
      </c>
      <c r="DG14" s="35">
        <f t="shared" si="171"/>
        <v>5.874045929114402E-2</v>
      </c>
      <c r="DH14" s="52">
        <f t="shared" si="172"/>
        <v>562358.89678791969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0.60857888464103038</v>
      </c>
      <c r="DM14" s="35">
        <f t="shared" si="175"/>
        <v>5.874045929114402E-2</v>
      </c>
      <c r="DN14" s="52">
        <f t="shared" si="176"/>
        <v>562358.89678791969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0.60857888464103038</v>
      </c>
      <c r="DS14" s="35">
        <f t="shared" si="179"/>
        <v>5.874045929114402E-2</v>
      </c>
      <c r="DT14" s="52">
        <f t="shared" si="180"/>
        <v>562358.89678791969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0.60857888464103038</v>
      </c>
      <c r="DY14" s="35">
        <f t="shared" si="183"/>
        <v>5.874045929114402E-2</v>
      </c>
      <c r="DZ14" s="36">
        <f t="shared" si="184"/>
        <v>562358.89678791969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0.60857888464103038</v>
      </c>
      <c r="EE14" s="35">
        <f t="shared" si="187"/>
        <v>5.874045929114402E-2</v>
      </c>
      <c r="EF14" s="36">
        <f t="shared" si="188"/>
        <v>562358.89678791969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0.60857888464103038</v>
      </c>
      <c r="EK14" s="35">
        <f t="shared" si="191"/>
        <v>5.874045929114402E-2</v>
      </c>
      <c r="EL14" s="36">
        <f t="shared" si="192"/>
        <v>562358.89678791969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0.60857888464103038</v>
      </c>
      <c r="EQ14" s="35">
        <f t="shared" si="195"/>
        <v>5.874045929114402E-2</v>
      </c>
      <c r="ER14" s="36">
        <f t="shared" si="196"/>
        <v>562358.89678791969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0.60857888464103038</v>
      </c>
      <c r="EW14" s="35">
        <f t="shared" si="199"/>
        <v>5.874045929114402E-2</v>
      </c>
      <c r="EX14" s="36">
        <f t="shared" si="200"/>
        <v>562358.89678791969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0.60857888464103038</v>
      </c>
      <c r="FC14" s="35">
        <f t="shared" si="203"/>
        <v>5.874045929114402E-2</v>
      </c>
      <c r="FD14" s="36">
        <f t="shared" si="204"/>
        <v>562358.89678791969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0.60857888464103038</v>
      </c>
      <c r="FI14" s="35">
        <f t="shared" si="207"/>
        <v>5.874045929114402E-2</v>
      </c>
      <c r="FJ14" s="36">
        <f t="shared" si="208"/>
        <v>562358.89678791969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0.60857888464103038</v>
      </c>
      <c r="FO14" s="35">
        <f t="shared" si="211"/>
        <v>5.874045929114402E-2</v>
      </c>
      <c r="FP14" s="36">
        <f t="shared" si="212"/>
        <v>562358.89678791969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0.60857888464103038</v>
      </c>
      <c r="FU14" s="35">
        <f t="shared" si="215"/>
        <v>5.874045929114402E-2</v>
      </c>
      <c r="FV14" s="36">
        <f t="shared" si="216"/>
        <v>562358.89678791969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0.60857888464103038</v>
      </c>
      <c r="GA14" s="35">
        <f t="shared" si="219"/>
        <v>5.874045929114402E-2</v>
      </c>
      <c r="GB14" s="36">
        <f t="shared" si="220"/>
        <v>562358.89678791969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0.60857888464103038</v>
      </c>
      <c r="GG14" s="35">
        <f t="shared" si="223"/>
        <v>5.874045929114402E-2</v>
      </c>
      <c r="GH14" s="36">
        <f t="shared" si="224"/>
        <v>562358.89678791969</v>
      </c>
      <c r="GI14" s="132">
        <f t="shared" si="225"/>
        <v>0</v>
      </c>
      <c r="GJ14" s="158">
        <f t="shared" si="228"/>
        <v>1078311.4645244805</v>
      </c>
      <c r="GK14" s="102">
        <f t="shared" si="226"/>
        <v>1866230.0465698522</v>
      </c>
      <c r="GL14" s="83">
        <f t="shared" si="227"/>
        <v>0.60857888464103049</v>
      </c>
    </row>
    <row r="15" spans="1:194" s="1" customFormat="1" ht="37.5">
      <c r="A15" s="170" t="s">
        <v>184</v>
      </c>
      <c r="B15" s="196" t="s">
        <v>8</v>
      </c>
      <c r="C15" s="196" t="s">
        <v>8</v>
      </c>
      <c r="D15" s="196" t="s">
        <v>8</v>
      </c>
      <c r="E15" s="196" t="s">
        <v>8</v>
      </c>
      <c r="F15" s="196" t="s">
        <v>8</v>
      </c>
      <c r="G15" s="197">
        <f>'Исходные данные'!C17</f>
        <v>1755</v>
      </c>
      <c r="H15" s="171">
        <f>'Исходные данные'!D17</f>
        <v>4803129</v>
      </c>
      <c r="I15" s="198">
        <f>'Расчет КРП'!G13</f>
        <v>3.5196078431372548</v>
      </c>
      <c r="J15" s="199" t="s">
        <v>8</v>
      </c>
      <c r="K15" s="120">
        <f t="shared" si="104"/>
        <v>0.44823553090192969</v>
      </c>
      <c r="L15" s="75">
        <f t="shared" si="105"/>
        <v>1483687.8878644069</v>
      </c>
      <c r="M15" s="200">
        <f t="shared" si="106"/>
        <v>0.58669561142645144</v>
      </c>
      <c r="N15" s="201" t="s">
        <v>8</v>
      </c>
      <c r="O15" s="202">
        <f t="shared" si="107"/>
        <v>-2.7572753518206206E-2</v>
      </c>
      <c r="P15" s="193">
        <f t="shared" si="108"/>
        <v>0</v>
      </c>
      <c r="Q15" s="203">
        <f t="shared" si="109"/>
        <v>0</v>
      </c>
      <c r="R15" s="204" t="s">
        <v>8</v>
      </c>
      <c r="S15" s="201" t="s">
        <v>8</v>
      </c>
      <c r="T15" s="205">
        <f t="shared" si="110"/>
        <v>0.58669561142645144</v>
      </c>
      <c r="U15" s="202">
        <f t="shared" si="111"/>
        <v>8.0623732505722967E-2</v>
      </c>
      <c r="V15" s="188">
        <f t="shared" si="112"/>
        <v>1417904.467223661</v>
      </c>
      <c r="W15" s="203">
        <f t="shared" si="113"/>
        <v>0</v>
      </c>
      <c r="X15" s="43" t="s">
        <v>8</v>
      </c>
      <c r="Y15" s="201" t="s">
        <v>8</v>
      </c>
      <c r="Z15" s="205">
        <f t="shared" si="114"/>
        <v>0.58669561142645144</v>
      </c>
      <c r="AA15" s="202">
        <f t="shared" si="115"/>
        <v>8.0623732505722967E-2</v>
      </c>
      <c r="AB15" s="188">
        <f t="shared" si="116"/>
        <v>1417904.467223661</v>
      </c>
      <c r="AC15" s="203">
        <f t="shared" si="117"/>
        <v>0</v>
      </c>
      <c r="AD15" s="43" t="s">
        <v>8</v>
      </c>
      <c r="AE15" s="201" t="s">
        <v>8</v>
      </c>
      <c r="AF15" s="205">
        <f t="shared" si="118"/>
        <v>0.58669561142645144</v>
      </c>
      <c r="AG15" s="202">
        <f t="shared" si="119"/>
        <v>8.0623732505722967E-2</v>
      </c>
      <c r="AH15" s="188">
        <f t="shared" si="120"/>
        <v>1417904.467223661</v>
      </c>
      <c r="AI15" s="203">
        <f t="shared" si="121"/>
        <v>0</v>
      </c>
      <c r="AJ15" s="43" t="s">
        <v>8</v>
      </c>
      <c r="AK15" s="201" t="s">
        <v>8</v>
      </c>
      <c r="AL15" s="205">
        <f t="shared" si="122"/>
        <v>0.58669561142645144</v>
      </c>
      <c r="AM15" s="202">
        <f t="shared" si="123"/>
        <v>8.0623732505722967E-2</v>
      </c>
      <c r="AN15" s="188">
        <f t="shared" si="124"/>
        <v>1417904.467223661</v>
      </c>
      <c r="AO15" s="203">
        <f t="shared" si="125"/>
        <v>0</v>
      </c>
      <c r="AP15" s="43" t="s">
        <v>8</v>
      </c>
      <c r="AQ15" s="201" t="s">
        <v>8</v>
      </c>
      <c r="AR15" s="205">
        <f t="shared" si="126"/>
        <v>0.58669561142645144</v>
      </c>
      <c r="AS15" s="202">
        <f t="shared" si="127"/>
        <v>8.0623732505722967E-2</v>
      </c>
      <c r="AT15" s="188">
        <f t="shared" si="128"/>
        <v>1417904.467223661</v>
      </c>
      <c r="AU15" s="203">
        <f t="shared" si="129"/>
        <v>0</v>
      </c>
      <c r="AV15" s="43" t="s">
        <v>8</v>
      </c>
      <c r="AW15" s="201" t="s">
        <v>8</v>
      </c>
      <c r="AX15" s="205">
        <f t="shared" si="130"/>
        <v>0.58669561142645144</v>
      </c>
      <c r="AY15" s="202">
        <f t="shared" si="131"/>
        <v>8.0623732505722967E-2</v>
      </c>
      <c r="AZ15" s="188">
        <f t="shared" si="132"/>
        <v>1417904.467223661</v>
      </c>
      <c r="BA15" s="203">
        <f t="shared" si="133"/>
        <v>0</v>
      </c>
      <c r="BB15" s="43" t="s">
        <v>8</v>
      </c>
      <c r="BC15" s="201" t="s">
        <v>8</v>
      </c>
      <c r="BD15" s="205">
        <f t="shared" si="134"/>
        <v>0.58669561142645144</v>
      </c>
      <c r="BE15" s="202">
        <f t="shared" si="135"/>
        <v>8.0623732505722967E-2</v>
      </c>
      <c r="BF15" s="188">
        <f t="shared" si="136"/>
        <v>1417904.467223661</v>
      </c>
      <c r="BG15" s="203">
        <f t="shared" si="137"/>
        <v>0</v>
      </c>
      <c r="BH15" s="43" t="s">
        <v>8</v>
      </c>
      <c r="BI15" s="201" t="s">
        <v>8</v>
      </c>
      <c r="BJ15" s="205">
        <f t="shared" si="138"/>
        <v>0.58669561142645144</v>
      </c>
      <c r="BK15" s="202">
        <f t="shared" si="139"/>
        <v>8.0623732505722967E-2</v>
      </c>
      <c r="BL15" s="188">
        <f t="shared" si="140"/>
        <v>1417904.467223661</v>
      </c>
      <c r="BM15" s="203">
        <f t="shared" si="141"/>
        <v>0</v>
      </c>
      <c r="BN15" s="43" t="s">
        <v>8</v>
      </c>
      <c r="BO15" s="201" t="s">
        <v>8</v>
      </c>
      <c r="BP15" s="205">
        <f t="shared" si="142"/>
        <v>0.58669561142645144</v>
      </c>
      <c r="BQ15" s="202">
        <f t="shared" si="143"/>
        <v>8.0623732505722967E-2</v>
      </c>
      <c r="BR15" s="188">
        <f t="shared" si="144"/>
        <v>1417904.467223661</v>
      </c>
      <c r="BS15" s="206">
        <f t="shared" si="145"/>
        <v>0</v>
      </c>
      <c r="BT15" s="43" t="s">
        <v>8</v>
      </c>
      <c r="BU15" s="201" t="s">
        <v>8</v>
      </c>
      <c r="BV15" s="205">
        <f t="shared" si="146"/>
        <v>0.58669561142645144</v>
      </c>
      <c r="BW15" s="202">
        <f t="shared" si="147"/>
        <v>8.0623732505722967E-2</v>
      </c>
      <c r="BX15" s="188">
        <f t="shared" si="148"/>
        <v>1417904.467223661</v>
      </c>
      <c r="BY15" s="206">
        <f t="shared" si="149"/>
        <v>0</v>
      </c>
      <c r="BZ15" s="43" t="s">
        <v>8</v>
      </c>
      <c r="CA15" s="201" t="s">
        <v>8</v>
      </c>
      <c r="CB15" s="205">
        <f t="shared" si="150"/>
        <v>0.58669561142645144</v>
      </c>
      <c r="CC15" s="202">
        <f t="shared" si="151"/>
        <v>8.0623732505722967E-2</v>
      </c>
      <c r="CD15" s="188">
        <f t="shared" si="152"/>
        <v>1417904.467223661</v>
      </c>
      <c r="CE15" s="206">
        <f t="shared" si="153"/>
        <v>0</v>
      </c>
      <c r="CF15" s="43" t="s">
        <v>8</v>
      </c>
      <c r="CG15" s="201" t="s">
        <v>8</v>
      </c>
      <c r="CH15" s="205">
        <f t="shared" si="154"/>
        <v>0.58669561142645144</v>
      </c>
      <c r="CI15" s="202">
        <f t="shared" si="155"/>
        <v>8.0623732505722967E-2</v>
      </c>
      <c r="CJ15" s="188">
        <f t="shared" si="156"/>
        <v>1417904.467223661</v>
      </c>
      <c r="CK15" s="206">
        <f t="shared" si="157"/>
        <v>0</v>
      </c>
      <c r="CL15" s="43" t="s">
        <v>8</v>
      </c>
      <c r="CM15" s="201" t="s">
        <v>8</v>
      </c>
      <c r="CN15" s="205">
        <f t="shared" si="158"/>
        <v>0.58669561142645144</v>
      </c>
      <c r="CO15" s="202">
        <f t="shared" si="159"/>
        <v>8.0623732505722967E-2</v>
      </c>
      <c r="CP15" s="188">
        <f t="shared" si="160"/>
        <v>1417904.467223661</v>
      </c>
      <c r="CQ15" s="206">
        <f t="shared" si="161"/>
        <v>0</v>
      </c>
      <c r="CR15" s="43" t="s">
        <v>8</v>
      </c>
      <c r="CS15" s="201" t="s">
        <v>8</v>
      </c>
      <c r="CT15" s="205">
        <f t="shared" si="162"/>
        <v>0.58669561142645144</v>
      </c>
      <c r="CU15" s="202">
        <f t="shared" si="163"/>
        <v>8.0623732505722967E-2</v>
      </c>
      <c r="CV15" s="188">
        <f t="shared" si="164"/>
        <v>1417904.467223661</v>
      </c>
      <c r="CW15" s="206">
        <f t="shared" si="165"/>
        <v>0</v>
      </c>
      <c r="CX15" s="43" t="s">
        <v>8</v>
      </c>
      <c r="CY15" s="201" t="s">
        <v>8</v>
      </c>
      <c r="CZ15" s="205">
        <f t="shared" si="166"/>
        <v>0.58669561142645144</v>
      </c>
      <c r="DA15" s="202">
        <f t="shared" si="167"/>
        <v>8.0623732505722967E-2</v>
      </c>
      <c r="DB15" s="188">
        <f t="shared" si="168"/>
        <v>1417904.467223661</v>
      </c>
      <c r="DC15" s="206">
        <f t="shared" si="169"/>
        <v>0</v>
      </c>
      <c r="DD15" s="43" t="s">
        <v>8</v>
      </c>
      <c r="DE15" s="201" t="s">
        <v>8</v>
      </c>
      <c r="DF15" s="205">
        <f t="shared" si="170"/>
        <v>0.58669561142645144</v>
      </c>
      <c r="DG15" s="202">
        <f t="shared" si="171"/>
        <v>8.0623732505722967E-2</v>
      </c>
      <c r="DH15" s="188">
        <f t="shared" si="172"/>
        <v>1417904.467223661</v>
      </c>
      <c r="DI15" s="206">
        <f t="shared" si="173"/>
        <v>0</v>
      </c>
      <c r="DJ15" s="43" t="s">
        <v>8</v>
      </c>
      <c r="DK15" s="201" t="s">
        <v>8</v>
      </c>
      <c r="DL15" s="205">
        <f t="shared" si="174"/>
        <v>0.58669561142645144</v>
      </c>
      <c r="DM15" s="202">
        <f t="shared" si="175"/>
        <v>8.0623732505722967E-2</v>
      </c>
      <c r="DN15" s="188">
        <f t="shared" si="176"/>
        <v>1417904.467223661</v>
      </c>
      <c r="DO15" s="206">
        <f t="shared" si="177"/>
        <v>0</v>
      </c>
      <c r="DP15" s="43" t="s">
        <v>8</v>
      </c>
      <c r="DQ15" s="201" t="s">
        <v>8</v>
      </c>
      <c r="DR15" s="205">
        <f t="shared" si="178"/>
        <v>0.58669561142645144</v>
      </c>
      <c r="DS15" s="202">
        <f t="shared" si="179"/>
        <v>8.0623732505722967E-2</v>
      </c>
      <c r="DT15" s="188">
        <f t="shared" si="180"/>
        <v>1417904.467223661</v>
      </c>
      <c r="DU15" s="206">
        <f t="shared" si="181"/>
        <v>0</v>
      </c>
      <c r="DV15" s="43" t="s">
        <v>8</v>
      </c>
      <c r="DW15" s="201" t="s">
        <v>8</v>
      </c>
      <c r="DX15" s="205">
        <f t="shared" si="182"/>
        <v>0.58669561142645144</v>
      </c>
      <c r="DY15" s="202">
        <f t="shared" si="183"/>
        <v>8.0623732505722967E-2</v>
      </c>
      <c r="DZ15" s="193">
        <f t="shared" si="184"/>
        <v>1417904.467223661</v>
      </c>
      <c r="EA15" s="203">
        <f t="shared" si="185"/>
        <v>0</v>
      </c>
      <c r="EB15" s="43" t="s">
        <v>8</v>
      </c>
      <c r="EC15" s="201" t="s">
        <v>8</v>
      </c>
      <c r="ED15" s="205">
        <f t="shared" si="186"/>
        <v>0.58669561142645144</v>
      </c>
      <c r="EE15" s="202">
        <f t="shared" si="187"/>
        <v>8.0623732505722967E-2</v>
      </c>
      <c r="EF15" s="193">
        <f t="shared" si="188"/>
        <v>1417904.467223661</v>
      </c>
      <c r="EG15" s="203">
        <f t="shared" si="189"/>
        <v>0</v>
      </c>
      <c r="EH15" s="43" t="s">
        <v>8</v>
      </c>
      <c r="EI15" s="201" t="s">
        <v>8</v>
      </c>
      <c r="EJ15" s="205">
        <f t="shared" si="190"/>
        <v>0.58669561142645144</v>
      </c>
      <c r="EK15" s="202">
        <f t="shared" si="191"/>
        <v>8.0623732505722967E-2</v>
      </c>
      <c r="EL15" s="193">
        <f t="shared" si="192"/>
        <v>1417904.467223661</v>
      </c>
      <c r="EM15" s="203">
        <f t="shared" si="193"/>
        <v>0</v>
      </c>
      <c r="EN15" s="43" t="s">
        <v>8</v>
      </c>
      <c r="EO15" s="201" t="s">
        <v>8</v>
      </c>
      <c r="EP15" s="205">
        <f t="shared" si="194"/>
        <v>0.58669561142645144</v>
      </c>
      <c r="EQ15" s="202">
        <f t="shared" si="195"/>
        <v>8.0623732505722967E-2</v>
      </c>
      <c r="ER15" s="193">
        <f t="shared" si="196"/>
        <v>1417904.467223661</v>
      </c>
      <c r="ES15" s="203">
        <f t="shared" si="197"/>
        <v>0</v>
      </c>
      <c r="ET15" s="43" t="s">
        <v>8</v>
      </c>
      <c r="EU15" s="201" t="s">
        <v>8</v>
      </c>
      <c r="EV15" s="205">
        <f t="shared" si="198"/>
        <v>0.58669561142645144</v>
      </c>
      <c r="EW15" s="202">
        <f t="shared" si="199"/>
        <v>8.0623732505722967E-2</v>
      </c>
      <c r="EX15" s="193">
        <f t="shared" si="200"/>
        <v>1417904.467223661</v>
      </c>
      <c r="EY15" s="203">
        <f t="shared" si="201"/>
        <v>0</v>
      </c>
      <c r="EZ15" s="43" t="s">
        <v>8</v>
      </c>
      <c r="FA15" s="201" t="s">
        <v>8</v>
      </c>
      <c r="FB15" s="205">
        <f t="shared" si="202"/>
        <v>0.58669561142645144</v>
      </c>
      <c r="FC15" s="202">
        <f t="shared" si="203"/>
        <v>8.0623732505722967E-2</v>
      </c>
      <c r="FD15" s="193">
        <f t="shared" si="204"/>
        <v>1417904.467223661</v>
      </c>
      <c r="FE15" s="203">
        <f t="shared" si="205"/>
        <v>0</v>
      </c>
      <c r="FF15" s="43" t="s">
        <v>8</v>
      </c>
      <c r="FG15" s="201" t="s">
        <v>8</v>
      </c>
      <c r="FH15" s="205">
        <f t="shared" si="206"/>
        <v>0.58669561142645144</v>
      </c>
      <c r="FI15" s="202">
        <f t="shared" si="207"/>
        <v>8.0623732505722967E-2</v>
      </c>
      <c r="FJ15" s="193">
        <f t="shared" si="208"/>
        <v>1417904.467223661</v>
      </c>
      <c r="FK15" s="203">
        <f t="shared" si="209"/>
        <v>0</v>
      </c>
      <c r="FL15" s="43" t="s">
        <v>8</v>
      </c>
      <c r="FM15" s="201" t="s">
        <v>8</v>
      </c>
      <c r="FN15" s="205">
        <f t="shared" si="210"/>
        <v>0.58669561142645144</v>
      </c>
      <c r="FO15" s="202">
        <f t="shared" si="211"/>
        <v>8.0623732505722967E-2</v>
      </c>
      <c r="FP15" s="193">
        <f t="shared" si="212"/>
        <v>1417904.467223661</v>
      </c>
      <c r="FQ15" s="203">
        <f t="shared" si="213"/>
        <v>0</v>
      </c>
      <c r="FR15" s="43" t="s">
        <v>8</v>
      </c>
      <c r="FS15" s="201" t="s">
        <v>8</v>
      </c>
      <c r="FT15" s="205">
        <f t="shared" si="214"/>
        <v>0.58669561142645144</v>
      </c>
      <c r="FU15" s="202">
        <f t="shared" si="215"/>
        <v>8.0623732505722967E-2</v>
      </c>
      <c r="FV15" s="193">
        <f t="shared" si="216"/>
        <v>1417904.467223661</v>
      </c>
      <c r="FW15" s="203">
        <f t="shared" si="217"/>
        <v>0</v>
      </c>
      <c r="FX15" s="43" t="s">
        <v>8</v>
      </c>
      <c r="FY15" s="201" t="s">
        <v>8</v>
      </c>
      <c r="FZ15" s="205">
        <f t="shared" si="218"/>
        <v>0.58669561142645144</v>
      </c>
      <c r="GA15" s="202">
        <f t="shared" si="219"/>
        <v>8.0623732505722967E-2</v>
      </c>
      <c r="GB15" s="193">
        <f t="shared" si="220"/>
        <v>1417904.467223661</v>
      </c>
      <c r="GC15" s="203">
        <f t="shared" si="221"/>
        <v>0</v>
      </c>
      <c r="GD15" s="43" t="s">
        <v>8</v>
      </c>
      <c r="GE15" s="201" t="s">
        <v>8</v>
      </c>
      <c r="GF15" s="205">
        <f t="shared" si="222"/>
        <v>0.58669561142645144</v>
      </c>
      <c r="GG15" s="202">
        <f t="shared" si="223"/>
        <v>8.0623732505722967E-2</v>
      </c>
      <c r="GH15" s="193">
        <f t="shared" si="224"/>
        <v>1417904.467223661</v>
      </c>
      <c r="GI15" s="206">
        <f t="shared" si="225"/>
        <v>0</v>
      </c>
      <c r="GJ15" s="158">
        <f t="shared" si="228"/>
        <v>0</v>
      </c>
      <c r="GK15" s="208">
        <f t="shared" si="226"/>
        <v>1483687.8878644069</v>
      </c>
      <c r="GL15" s="83">
        <f t="shared" si="227"/>
        <v>0.58669561142645132</v>
      </c>
    </row>
    <row r="16" spans="1:194" s="27" customFormat="1" ht="37.5">
      <c r="A16" s="170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620</v>
      </c>
      <c r="H16" s="33">
        <f>'Исходные данные'!D18</f>
        <v>1112360</v>
      </c>
      <c r="I16" s="34">
        <f>'Расчет КРП'!G14</f>
        <v>3.5980392156862746</v>
      </c>
      <c r="J16" s="116" t="s">
        <v>8</v>
      </c>
      <c r="K16" s="120">
        <f t="shared" si="104"/>
        <v>0.28743603113626404</v>
      </c>
      <c r="L16" s="75">
        <f t="shared" si="105"/>
        <v>524151.84642503265</v>
      </c>
      <c r="M16" s="72">
        <f t="shared" si="106"/>
        <v>0.42287790827060534</v>
      </c>
      <c r="N16" s="32" t="s">
        <v>8</v>
      </c>
      <c r="O16" s="35">
        <f t="shared" si="107"/>
        <v>0.13624494963763989</v>
      </c>
      <c r="P16" s="36">
        <f t="shared" si="108"/>
        <v>784206.61362025747</v>
      </c>
      <c r="Q16" s="77">
        <f t="shared" si="109"/>
        <v>719845.58394550486</v>
      </c>
      <c r="R16" s="156" t="s">
        <v>8</v>
      </c>
      <c r="S16" s="32" t="s">
        <v>8</v>
      </c>
      <c r="T16" s="37">
        <f t="shared" si="110"/>
        <v>0.60888743547426449</v>
      </c>
      <c r="U16" s="35">
        <f t="shared" si="111"/>
        <v>5.8431908457909909E-2</v>
      </c>
      <c r="V16" s="52">
        <f t="shared" si="112"/>
        <v>371125.09877367911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0.60888743547426449</v>
      </c>
      <c r="AA16" s="35">
        <f t="shared" si="115"/>
        <v>5.8431908457909909E-2</v>
      </c>
      <c r="AB16" s="52">
        <f t="shared" si="116"/>
        <v>371125.09877367911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0.60888743547426449</v>
      </c>
      <c r="AG16" s="35">
        <f t="shared" si="119"/>
        <v>5.8431908457909909E-2</v>
      </c>
      <c r="AH16" s="52">
        <f t="shared" si="120"/>
        <v>371125.09877367911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0.60888743547426449</v>
      </c>
      <c r="AM16" s="35">
        <f t="shared" si="123"/>
        <v>5.8431908457909909E-2</v>
      </c>
      <c r="AN16" s="52">
        <f t="shared" si="124"/>
        <v>371125.09877367911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0.60888743547426449</v>
      </c>
      <c r="AS16" s="35">
        <f t="shared" si="127"/>
        <v>5.8431908457909909E-2</v>
      </c>
      <c r="AT16" s="52">
        <f t="shared" si="128"/>
        <v>371125.09877367911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0.60888743547426449</v>
      </c>
      <c r="AY16" s="35">
        <f t="shared" si="131"/>
        <v>5.8431908457909909E-2</v>
      </c>
      <c r="AZ16" s="52">
        <f t="shared" si="132"/>
        <v>371125.09877367911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0.60888743547426449</v>
      </c>
      <c r="BE16" s="35">
        <f t="shared" si="135"/>
        <v>5.8431908457909909E-2</v>
      </c>
      <c r="BF16" s="52">
        <f t="shared" si="136"/>
        <v>371125.09877367911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0.60888743547426449</v>
      </c>
      <c r="BK16" s="35">
        <f t="shared" si="139"/>
        <v>5.8431908457909909E-2</v>
      </c>
      <c r="BL16" s="52">
        <f t="shared" si="140"/>
        <v>371125.09877367911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0.60888743547426449</v>
      </c>
      <c r="BQ16" s="35">
        <f t="shared" si="143"/>
        <v>5.8431908457909909E-2</v>
      </c>
      <c r="BR16" s="52">
        <f t="shared" si="144"/>
        <v>371125.09877367911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0.60888743547426449</v>
      </c>
      <c r="BW16" s="35">
        <f t="shared" si="147"/>
        <v>5.8431908457909909E-2</v>
      </c>
      <c r="BX16" s="52">
        <f t="shared" si="148"/>
        <v>371125.09877367911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0.60888743547426449</v>
      </c>
      <c r="CC16" s="35">
        <f t="shared" si="151"/>
        <v>5.8431908457909909E-2</v>
      </c>
      <c r="CD16" s="52">
        <f t="shared" si="152"/>
        <v>371125.09877367911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0.60888743547426449</v>
      </c>
      <c r="CI16" s="35">
        <f t="shared" si="155"/>
        <v>5.8431908457909909E-2</v>
      </c>
      <c r="CJ16" s="52">
        <f t="shared" si="156"/>
        <v>371125.09877367911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0.60888743547426449</v>
      </c>
      <c r="CO16" s="35">
        <f t="shared" si="159"/>
        <v>5.8431908457909909E-2</v>
      </c>
      <c r="CP16" s="52">
        <f t="shared" si="160"/>
        <v>371125.09877367911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0.60888743547426449</v>
      </c>
      <c r="CU16" s="35">
        <f t="shared" si="163"/>
        <v>5.8431908457909909E-2</v>
      </c>
      <c r="CV16" s="52">
        <f t="shared" si="164"/>
        <v>371125.09877367911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0.60888743547426449</v>
      </c>
      <c r="DA16" s="35">
        <f t="shared" si="167"/>
        <v>5.8431908457909909E-2</v>
      </c>
      <c r="DB16" s="52">
        <f t="shared" si="168"/>
        <v>371125.09877367911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0.60888743547426449</v>
      </c>
      <c r="DG16" s="35">
        <f t="shared" si="171"/>
        <v>5.8431908457909909E-2</v>
      </c>
      <c r="DH16" s="52">
        <f t="shared" si="172"/>
        <v>371125.09877367911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0.60888743547426449</v>
      </c>
      <c r="DM16" s="35">
        <f t="shared" si="175"/>
        <v>5.8431908457909909E-2</v>
      </c>
      <c r="DN16" s="52">
        <f t="shared" si="176"/>
        <v>371125.09877367911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0.60888743547426449</v>
      </c>
      <c r="DS16" s="35">
        <f t="shared" si="179"/>
        <v>5.8431908457909909E-2</v>
      </c>
      <c r="DT16" s="52">
        <f t="shared" si="180"/>
        <v>371125.09877367911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0.60888743547426449</v>
      </c>
      <c r="DY16" s="35">
        <f t="shared" si="183"/>
        <v>5.8431908457909909E-2</v>
      </c>
      <c r="DZ16" s="36">
        <f t="shared" si="184"/>
        <v>371125.09877367911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0.60888743547426449</v>
      </c>
      <c r="EE16" s="35">
        <f t="shared" si="187"/>
        <v>5.8431908457909909E-2</v>
      </c>
      <c r="EF16" s="36">
        <f t="shared" si="188"/>
        <v>371125.09877367911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0.60888743547426449</v>
      </c>
      <c r="EK16" s="35">
        <f t="shared" si="191"/>
        <v>5.8431908457909909E-2</v>
      </c>
      <c r="EL16" s="36">
        <f t="shared" si="192"/>
        <v>371125.09877367911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0.60888743547426449</v>
      </c>
      <c r="EQ16" s="35">
        <f t="shared" si="195"/>
        <v>5.8431908457909909E-2</v>
      </c>
      <c r="ER16" s="36">
        <f t="shared" si="196"/>
        <v>371125.09877367911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0.60888743547426449</v>
      </c>
      <c r="EW16" s="35">
        <f t="shared" si="199"/>
        <v>5.8431908457909909E-2</v>
      </c>
      <c r="EX16" s="36">
        <f t="shared" si="200"/>
        <v>371125.09877367911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0.60888743547426449</v>
      </c>
      <c r="FC16" s="35">
        <f t="shared" si="203"/>
        <v>5.8431908457909909E-2</v>
      </c>
      <c r="FD16" s="36">
        <f t="shared" si="204"/>
        <v>371125.09877367911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0.60888743547426449</v>
      </c>
      <c r="FI16" s="35">
        <f t="shared" si="207"/>
        <v>5.8431908457909909E-2</v>
      </c>
      <c r="FJ16" s="36">
        <f t="shared" si="208"/>
        <v>371125.09877367911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0.60888743547426449</v>
      </c>
      <c r="FO16" s="35">
        <f t="shared" si="211"/>
        <v>5.8431908457909909E-2</v>
      </c>
      <c r="FP16" s="36">
        <f t="shared" si="212"/>
        <v>371125.09877367911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0.60888743547426449</v>
      </c>
      <c r="FU16" s="35">
        <f t="shared" si="215"/>
        <v>5.8431908457909909E-2</v>
      </c>
      <c r="FV16" s="36">
        <f t="shared" si="216"/>
        <v>371125.09877367911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0.60888743547426449</v>
      </c>
      <c r="GA16" s="35">
        <f t="shared" si="219"/>
        <v>5.8431908457909909E-2</v>
      </c>
      <c r="GB16" s="36">
        <f t="shared" si="220"/>
        <v>371125.09877367911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0.60888743547426449</v>
      </c>
      <c r="GG16" s="35">
        <f t="shared" si="223"/>
        <v>5.8431908457909909E-2</v>
      </c>
      <c r="GH16" s="36">
        <f t="shared" si="224"/>
        <v>371125.09877367911</v>
      </c>
      <c r="GI16" s="132">
        <f t="shared" si="225"/>
        <v>0</v>
      </c>
      <c r="GJ16" s="158">
        <f t="shared" si="228"/>
        <v>719845.58394550486</v>
      </c>
      <c r="GK16" s="102">
        <f t="shared" si="226"/>
        <v>1243997.4303705376</v>
      </c>
      <c r="GL16" s="83">
        <f t="shared" si="227"/>
        <v>0.60888743547426449</v>
      </c>
    </row>
    <row r="17" spans="1:195" s="27" customFormat="1" ht="37.5">
      <c r="A17" s="170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2672</v>
      </c>
      <c r="H17" s="33">
        <f>'Исходные данные'!D19</f>
        <v>4116872</v>
      </c>
      <c r="I17" s="34">
        <f>'Расчет КРП'!G15</f>
        <v>2.6274509803921569</v>
      </c>
      <c r="J17" s="116" t="s">
        <v>8</v>
      </c>
      <c r="K17" s="120">
        <f t="shared" si="104"/>
        <v>0.33802569498962315</v>
      </c>
      <c r="L17" s="75">
        <f t="shared" si="105"/>
        <v>2258925.3768511084</v>
      </c>
      <c r="M17" s="72">
        <f t="shared" si="106"/>
        <v>0.52350020584150092</v>
      </c>
      <c r="N17" s="32" t="s">
        <v>8</v>
      </c>
      <c r="O17" s="35">
        <f t="shared" si="107"/>
        <v>3.5622652066744309E-2</v>
      </c>
      <c r="P17" s="36">
        <f t="shared" si="108"/>
        <v>645282.41651475604</v>
      </c>
      <c r="Q17" s="77">
        <f t="shared" si="109"/>
        <v>592323.10702082561</v>
      </c>
      <c r="R17" s="156" t="s">
        <v>8</v>
      </c>
      <c r="S17" s="32" t="s">
        <v>8</v>
      </c>
      <c r="T17" s="37">
        <f t="shared" si="110"/>
        <v>0.57213432172101519</v>
      </c>
      <c r="U17" s="35">
        <f t="shared" si="111"/>
        <v>9.5185022211159209E-2</v>
      </c>
      <c r="V17" s="52">
        <f t="shared" si="112"/>
        <v>1902621.3452154214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0.57213432172101519</v>
      </c>
      <c r="AA17" s="35">
        <f t="shared" si="115"/>
        <v>9.5185022211159209E-2</v>
      </c>
      <c r="AB17" s="52">
        <f t="shared" si="116"/>
        <v>1902621.3452154214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0.57213432172101519</v>
      </c>
      <c r="AG17" s="35">
        <f t="shared" si="119"/>
        <v>9.5185022211159209E-2</v>
      </c>
      <c r="AH17" s="52">
        <f t="shared" si="120"/>
        <v>1902621.3452154214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0.57213432172101519</v>
      </c>
      <c r="AM17" s="35">
        <f t="shared" si="123"/>
        <v>9.5185022211159209E-2</v>
      </c>
      <c r="AN17" s="52">
        <f t="shared" si="124"/>
        <v>1902621.3452154214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0.57213432172101519</v>
      </c>
      <c r="AS17" s="35">
        <f t="shared" si="127"/>
        <v>9.5185022211159209E-2</v>
      </c>
      <c r="AT17" s="52">
        <f t="shared" si="128"/>
        <v>1902621.3452154214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0.57213432172101519</v>
      </c>
      <c r="AY17" s="35">
        <f t="shared" si="131"/>
        <v>9.5185022211159209E-2</v>
      </c>
      <c r="AZ17" s="52">
        <f t="shared" si="132"/>
        <v>1902621.3452154214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0.57213432172101519</v>
      </c>
      <c r="BE17" s="35">
        <f t="shared" si="135"/>
        <v>9.5185022211159209E-2</v>
      </c>
      <c r="BF17" s="52">
        <f t="shared" si="136"/>
        <v>1902621.3452154214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0.57213432172101519</v>
      </c>
      <c r="BK17" s="35">
        <f t="shared" si="139"/>
        <v>9.5185022211159209E-2</v>
      </c>
      <c r="BL17" s="52">
        <f t="shared" si="140"/>
        <v>1902621.3452154214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0.57213432172101519</v>
      </c>
      <c r="BQ17" s="35">
        <f t="shared" si="143"/>
        <v>9.5185022211159209E-2</v>
      </c>
      <c r="BR17" s="52">
        <f t="shared" si="144"/>
        <v>1902621.3452154214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0.57213432172101519</v>
      </c>
      <c r="BW17" s="35">
        <f t="shared" si="147"/>
        <v>9.5185022211159209E-2</v>
      </c>
      <c r="BX17" s="52">
        <f t="shared" si="148"/>
        <v>1902621.3452154214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0.57213432172101519</v>
      </c>
      <c r="CC17" s="35">
        <f t="shared" si="151"/>
        <v>9.5185022211159209E-2</v>
      </c>
      <c r="CD17" s="52">
        <f t="shared" si="152"/>
        <v>1902621.3452154214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0.57213432172101519</v>
      </c>
      <c r="CI17" s="35">
        <f t="shared" si="155"/>
        <v>9.5185022211159209E-2</v>
      </c>
      <c r="CJ17" s="52">
        <f t="shared" si="156"/>
        <v>1902621.3452154214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0.57213432172101519</v>
      </c>
      <c r="CO17" s="35">
        <f t="shared" si="159"/>
        <v>9.5185022211159209E-2</v>
      </c>
      <c r="CP17" s="52">
        <f t="shared" si="160"/>
        <v>1902621.3452154214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0.57213432172101519</v>
      </c>
      <c r="CU17" s="35">
        <f t="shared" si="163"/>
        <v>9.5185022211159209E-2</v>
      </c>
      <c r="CV17" s="52">
        <f t="shared" si="164"/>
        <v>1902621.3452154214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0.57213432172101519</v>
      </c>
      <c r="DA17" s="35">
        <f t="shared" si="167"/>
        <v>9.5185022211159209E-2</v>
      </c>
      <c r="DB17" s="52">
        <f t="shared" si="168"/>
        <v>1902621.3452154214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0.57213432172101519</v>
      </c>
      <c r="DG17" s="35">
        <f t="shared" si="171"/>
        <v>9.5185022211159209E-2</v>
      </c>
      <c r="DH17" s="52">
        <f t="shared" si="172"/>
        <v>1902621.3452154214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0.57213432172101519</v>
      </c>
      <c r="DM17" s="35">
        <f t="shared" si="175"/>
        <v>9.5185022211159209E-2</v>
      </c>
      <c r="DN17" s="52">
        <f t="shared" si="176"/>
        <v>1902621.3452154214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0.57213432172101519</v>
      </c>
      <c r="DS17" s="35">
        <f t="shared" si="179"/>
        <v>9.5185022211159209E-2</v>
      </c>
      <c r="DT17" s="52">
        <f t="shared" si="180"/>
        <v>1902621.3452154214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0.57213432172101519</v>
      </c>
      <c r="DY17" s="35">
        <f t="shared" si="183"/>
        <v>9.5185022211159209E-2</v>
      </c>
      <c r="DZ17" s="36">
        <f t="shared" si="184"/>
        <v>1902621.3452154214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0.57213432172101519</v>
      </c>
      <c r="EE17" s="35">
        <f t="shared" si="187"/>
        <v>9.5185022211159209E-2</v>
      </c>
      <c r="EF17" s="36">
        <f t="shared" si="188"/>
        <v>1902621.3452154214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0.57213432172101519</v>
      </c>
      <c r="EK17" s="35">
        <f t="shared" si="191"/>
        <v>9.5185022211159209E-2</v>
      </c>
      <c r="EL17" s="36">
        <f t="shared" si="192"/>
        <v>1902621.3452154214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0.57213432172101519</v>
      </c>
      <c r="EQ17" s="35">
        <f t="shared" si="195"/>
        <v>9.5185022211159209E-2</v>
      </c>
      <c r="ER17" s="36">
        <f t="shared" si="196"/>
        <v>1902621.3452154214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0.57213432172101519</v>
      </c>
      <c r="EW17" s="35">
        <f t="shared" si="199"/>
        <v>9.5185022211159209E-2</v>
      </c>
      <c r="EX17" s="36">
        <f t="shared" si="200"/>
        <v>1902621.3452154214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0.57213432172101519</v>
      </c>
      <c r="FC17" s="35">
        <f t="shared" si="203"/>
        <v>9.5185022211159209E-2</v>
      </c>
      <c r="FD17" s="36">
        <f t="shared" si="204"/>
        <v>1902621.3452154214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0.57213432172101519</v>
      </c>
      <c r="FI17" s="35">
        <f t="shared" si="207"/>
        <v>9.5185022211159209E-2</v>
      </c>
      <c r="FJ17" s="36">
        <f t="shared" si="208"/>
        <v>1902621.3452154214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0.57213432172101519</v>
      </c>
      <c r="FO17" s="35">
        <f t="shared" si="211"/>
        <v>9.5185022211159209E-2</v>
      </c>
      <c r="FP17" s="36">
        <f t="shared" si="212"/>
        <v>1902621.3452154214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0.57213432172101519</v>
      </c>
      <c r="FU17" s="35">
        <f t="shared" si="215"/>
        <v>9.5185022211159209E-2</v>
      </c>
      <c r="FV17" s="36">
        <f t="shared" si="216"/>
        <v>1902621.3452154214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0.57213432172101519</v>
      </c>
      <c r="GA17" s="35">
        <f t="shared" si="219"/>
        <v>9.5185022211159209E-2</v>
      </c>
      <c r="GB17" s="36">
        <f t="shared" si="220"/>
        <v>1902621.3452154214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0.57213432172101519</v>
      </c>
      <c r="GG17" s="35">
        <f t="shared" si="223"/>
        <v>9.5185022211159209E-2</v>
      </c>
      <c r="GH17" s="36">
        <f t="shared" si="224"/>
        <v>1902621.3452154214</v>
      </c>
      <c r="GI17" s="132">
        <f t="shared" si="225"/>
        <v>0</v>
      </c>
      <c r="GJ17" s="158">
        <f t="shared" si="228"/>
        <v>592323.10702082561</v>
      </c>
      <c r="GK17" s="102">
        <f t="shared" si="226"/>
        <v>2851248.483871934</v>
      </c>
      <c r="GL17" s="83">
        <f t="shared" si="227"/>
        <v>0.5721343217210153</v>
      </c>
    </row>
    <row r="18" spans="1:195" s="27" customFormat="1" ht="37.5">
      <c r="A18" s="170" t="s">
        <v>187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2215</v>
      </c>
      <c r="H18" s="33">
        <f>'Исходные данные'!D20</f>
        <v>5135756</v>
      </c>
      <c r="I18" s="34">
        <f>'Расчет КРП'!G16</f>
        <v>3.5</v>
      </c>
      <c r="J18" s="116" t="s">
        <v>8</v>
      </c>
      <c r="K18" s="120">
        <f t="shared" si="104"/>
        <v>0.38187043281074506</v>
      </c>
      <c r="L18" s="75">
        <f t="shared" si="105"/>
        <v>1872574.7416636245</v>
      </c>
      <c r="M18" s="72">
        <f t="shared" si="106"/>
        <v>0.52110620006089425</v>
      </c>
      <c r="N18" s="32" t="s">
        <v>8</v>
      </c>
      <c r="O18" s="35">
        <f t="shared" si="107"/>
        <v>3.8016657847350976E-2</v>
      </c>
      <c r="P18" s="36">
        <f t="shared" si="108"/>
        <v>760445.71134653059</v>
      </c>
      <c r="Q18" s="77">
        <f t="shared" si="109"/>
        <v>698034.77506525035</v>
      </c>
      <c r="R18" s="156" t="s">
        <v>8</v>
      </c>
      <c r="S18" s="32" t="s">
        <v>8</v>
      </c>
      <c r="T18" s="37">
        <f t="shared" si="110"/>
        <v>0.57300875183148425</v>
      </c>
      <c r="U18" s="35">
        <f t="shared" si="111"/>
        <v>9.4310592100690149E-2</v>
      </c>
      <c r="V18" s="52">
        <f t="shared" si="112"/>
        <v>2081684.5523209751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0.57300875183148425</v>
      </c>
      <c r="AA18" s="35">
        <f t="shared" si="115"/>
        <v>9.4310592100690149E-2</v>
      </c>
      <c r="AB18" s="52">
        <f t="shared" si="116"/>
        <v>2081684.5523209751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0.57300875183148425</v>
      </c>
      <c r="AG18" s="35">
        <f t="shared" si="119"/>
        <v>9.4310592100690149E-2</v>
      </c>
      <c r="AH18" s="52">
        <f t="shared" si="120"/>
        <v>2081684.5523209751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0.57300875183148425</v>
      </c>
      <c r="AM18" s="35">
        <f t="shared" si="123"/>
        <v>9.4310592100690149E-2</v>
      </c>
      <c r="AN18" s="52">
        <f t="shared" si="124"/>
        <v>2081684.5523209751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0.57300875183148425</v>
      </c>
      <c r="AS18" s="35">
        <f t="shared" si="127"/>
        <v>9.4310592100690149E-2</v>
      </c>
      <c r="AT18" s="52">
        <f t="shared" si="128"/>
        <v>2081684.5523209751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0.57300875183148425</v>
      </c>
      <c r="AY18" s="35">
        <f t="shared" si="131"/>
        <v>9.4310592100690149E-2</v>
      </c>
      <c r="AZ18" s="52">
        <f t="shared" si="132"/>
        <v>2081684.5523209751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0.57300875183148425</v>
      </c>
      <c r="BE18" s="35">
        <f t="shared" si="135"/>
        <v>9.4310592100690149E-2</v>
      </c>
      <c r="BF18" s="52">
        <f t="shared" si="136"/>
        <v>2081684.5523209751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0.57300875183148425</v>
      </c>
      <c r="BK18" s="35">
        <f t="shared" si="139"/>
        <v>9.4310592100690149E-2</v>
      </c>
      <c r="BL18" s="52">
        <f t="shared" si="140"/>
        <v>2081684.5523209751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0.57300875183148425</v>
      </c>
      <c r="BQ18" s="35">
        <f t="shared" si="143"/>
        <v>9.4310592100690149E-2</v>
      </c>
      <c r="BR18" s="52">
        <f t="shared" si="144"/>
        <v>2081684.5523209751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0.57300875183148425</v>
      </c>
      <c r="BW18" s="35">
        <f t="shared" si="147"/>
        <v>9.4310592100690149E-2</v>
      </c>
      <c r="BX18" s="52">
        <f t="shared" si="148"/>
        <v>2081684.5523209751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0.57300875183148425</v>
      </c>
      <c r="CC18" s="35">
        <f t="shared" si="151"/>
        <v>9.4310592100690149E-2</v>
      </c>
      <c r="CD18" s="52">
        <f t="shared" si="152"/>
        <v>2081684.5523209751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0.57300875183148425</v>
      </c>
      <c r="CI18" s="35">
        <f t="shared" si="155"/>
        <v>9.4310592100690149E-2</v>
      </c>
      <c r="CJ18" s="52">
        <f t="shared" si="156"/>
        <v>2081684.5523209751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0.57300875183148425</v>
      </c>
      <c r="CO18" s="35">
        <f t="shared" si="159"/>
        <v>9.4310592100690149E-2</v>
      </c>
      <c r="CP18" s="52">
        <f t="shared" si="160"/>
        <v>2081684.5523209751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0.57300875183148425</v>
      </c>
      <c r="CU18" s="35">
        <f t="shared" si="163"/>
        <v>9.4310592100690149E-2</v>
      </c>
      <c r="CV18" s="52">
        <f t="shared" si="164"/>
        <v>2081684.5523209751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0.57300875183148425</v>
      </c>
      <c r="DA18" s="35">
        <f t="shared" si="167"/>
        <v>9.4310592100690149E-2</v>
      </c>
      <c r="DB18" s="52">
        <f t="shared" si="168"/>
        <v>2081684.5523209751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0.57300875183148425</v>
      </c>
      <c r="DG18" s="35">
        <f t="shared" si="171"/>
        <v>9.4310592100690149E-2</v>
      </c>
      <c r="DH18" s="52">
        <f t="shared" si="172"/>
        <v>2081684.5523209751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0.57300875183148425</v>
      </c>
      <c r="DM18" s="35">
        <f t="shared" si="175"/>
        <v>9.4310592100690149E-2</v>
      </c>
      <c r="DN18" s="52">
        <f t="shared" si="176"/>
        <v>2081684.5523209751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0.57300875183148425</v>
      </c>
      <c r="DS18" s="35">
        <f t="shared" si="179"/>
        <v>9.4310592100690149E-2</v>
      </c>
      <c r="DT18" s="52">
        <f t="shared" si="180"/>
        <v>2081684.5523209751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0.57300875183148425</v>
      </c>
      <c r="DY18" s="35">
        <f t="shared" si="183"/>
        <v>9.4310592100690149E-2</v>
      </c>
      <c r="DZ18" s="36">
        <f t="shared" si="184"/>
        <v>2081684.5523209751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0.57300875183148425</v>
      </c>
      <c r="EE18" s="35">
        <f t="shared" si="187"/>
        <v>9.4310592100690149E-2</v>
      </c>
      <c r="EF18" s="36">
        <f t="shared" si="188"/>
        <v>2081684.5523209751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0.57300875183148425</v>
      </c>
      <c r="EK18" s="35">
        <f t="shared" si="191"/>
        <v>9.4310592100690149E-2</v>
      </c>
      <c r="EL18" s="36">
        <f t="shared" si="192"/>
        <v>2081684.5523209751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0.57300875183148425</v>
      </c>
      <c r="EQ18" s="35">
        <f t="shared" si="195"/>
        <v>9.4310592100690149E-2</v>
      </c>
      <c r="ER18" s="36">
        <f t="shared" si="196"/>
        <v>2081684.5523209751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0.57300875183148425</v>
      </c>
      <c r="EW18" s="35">
        <f t="shared" si="199"/>
        <v>9.4310592100690149E-2</v>
      </c>
      <c r="EX18" s="36">
        <f t="shared" si="200"/>
        <v>2081684.5523209751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0.57300875183148425</v>
      </c>
      <c r="FC18" s="35">
        <f t="shared" si="203"/>
        <v>9.4310592100690149E-2</v>
      </c>
      <c r="FD18" s="36">
        <f t="shared" si="204"/>
        <v>2081684.5523209751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0.57300875183148425</v>
      </c>
      <c r="FI18" s="35">
        <f t="shared" si="207"/>
        <v>9.4310592100690149E-2</v>
      </c>
      <c r="FJ18" s="36">
        <f t="shared" si="208"/>
        <v>2081684.5523209751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0.57300875183148425</v>
      </c>
      <c r="FO18" s="35">
        <f t="shared" si="211"/>
        <v>9.4310592100690149E-2</v>
      </c>
      <c r="FP18" s="36">
        <f t="shared" si="212"/>
        <v>2081684.5523209751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0.57300875183148425</v>
      </c>
      <c r="FU18" s="35">
        <f t="shared" si="215"/>
        <v>9.4310592100690149E-2</v>
      </c>
      <c r="FV18" s="36">
        <f t="shared" si="216"/>
        <v>2081684.5523209751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0.57300875183148425</v>
      </c>
      <c r="GA18" s="35">
        <f t="shared" si="219"/>
        <v>9.4310592100690149E-2</v>
      </c>
      <c r="GB18" s="36">
        <f t="shared" si="220"/>
        <v>2081684.5523209751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0.57300875183148425</v>
      </c>
      <c r="GG18" s="35">
        <f t="shared" si="223"/>
        <v>9.4310592100690149E-2</v>
      </c>
      <c r="GH18" s="36">
        <f t="shared" si="224"/>
        <v>2081684.5523209751</v>
      </c>
      <c r="GI18" s="132">
        <f t="shared" si="225"/>
        <v>0</v>
      </c>
      <c r="GJ18" s="158">
        <f t="shared" si="228"/>
        <v>698034.77506525035</v>
      </c>
      <c r="GK18" s="102">
        <f t="shared" si="226"/>
        <v>2570609.5167288748</v>
      </c>
      <c r="GL18" s="83">
        <f t="shared" si="227"/>
        <v>0.57300875183148425</v>
      </c>
    </row>
    <row r="19" spans="1:195" s="1" customFormat="1" ht="38.25" thickBot="1">
      <c r="A19" s="170" t="s">
        <v>188</v>
      </c>
      <c r="B19" s="196" t="s">
        <v>8</v>
      </c>
      <c r="C19" s="196" t="s">
        <v>8</v>
      </c>
      <c r="D19" s="196" t="s">
        <v>8</v>
      </c>
      <c r="E19" s="196" t="s">
        <v>8</v>
      </c>
      <c r="F19" s="196" t="s">
        <v>8</v>
      </c>
      <c r="G19" s="197">
        <f>'Исходные данные'!C21</f>
        <v>22101</v>
      </c>
      <c r="H19" s="171">
        <f>'Исходные данные'!D21</f>
        <v>34526436</v>
      </c>
      <c r="I19" s="198">
        <f>'Расчет КРП'!G17</f>
        <v>2.166666666666667</v>
      </c>
      <c r="J19" s="199" t="s">
        <v>8</v>
      </c>
      <c r="K19" s="120">
        <f t="shared" si="104"/>
        <v>0.41562450953617314</v>
      </c>
      <c r="L19" s="75">
        <f t="shared" si="105"/>
        <v>18684322.512644589</v>
      </c>
      <c r="M19" s="200">
        <f t="shared" si="106"/>
        <v>0.64054382586333736</v>
      </c>
      <c r="N19" s="201" t="s">
        <v>8</v>
      </c>
      <c r="O19" s="202">
        <f t="shared" si="107"/>
        <v>-8.1420967955092127E-2</v>
      </c>
      <c r="P19" s="193">
        <f t="shared" si="108"/>
        <v>0</v>
      </c>
      <c r="Q19" s="203">
        <f t="shared" si="109"/>
        <v>0</v>
      </c>
      <c r="R19" s="204" t="s">
        <v>8</v>
      </c>
      <c r="S19" s="201" t="s">
        <v>8</v>
      </c>
      <c r="T19" s="205">
        <f t="shared" si="110"/>
        <v>0.64054382586333736</v>
      </c>
      <c r="U19" s="202">
        <f t="shared" si="111"/>
        <v>2.6775518068837045E-2</v>
      </c>
      <c r="V19" s="188">
        <f t="shared" si="112"/>
        <v>3650518.7391743683</v>
      </c>
      <c r="W19" s="203">
        <f t="shared" si="113"/>
        <v>0</v>
      </c>
      <c r="X19" s="43" t="s">
        <v>8</v>
      </c>
      <c r="Y19" s="201" t="s">
        <v>8</v>
      </c>
      <c r="Z19" s="205">
        <f t="shared" si="114"/>
        <v>0.64054382586333736</v>
      </c>
      <c r="AA19" s="202">
        <f t="shared" si="115"/>
        <v>2.6775518068837045E-2</v>
      </c>
      <c r="AB19" s="188">
        <f t="shared" si="116"/>
        <v>3650518.7391743683</v>
      </c>
      <c r="AC19" s="203">
        <f t="shared" si="117"/>
        <v>0</v>
      </c>
      <c r="AD19" s="43" t="s">
        <v>8</v>
      </c>
      <c r="AE19" s="201" t="s">
        <v>8</v>
      </c>
      <c r="AF19" s="205">
        <f t="shared" si="118"/>
        <v>0.64054382586333736</v>
      </c>
      <c r="AG19" s="202">
        <f t="shared" si="119"/>
        <v>2.6775518068837045E-2</v>
      </c>
      <c r="AH19" s="188">
        <f t="shared" si="120"/>
        <v>3650518.7391743683</v>
      </c>
      <c r="AI19" s="203">
        <f t="shared" si="121"/>
        <v>0</v>
      </c>
      <c r="AJ19" s="43" t="s">
        <v>8</v>
      </c>
      <c r="AK19" s="201" t="s">
        <v>8</v>
      </c>
      <c r="AL19" s="205">
        <f t="shared" si="122"/>
        <v>0.64054382586333736</v>
      </c>
      <c r="AM19" s="202">
        <f t="shared" si="123"/>
        <v>2.6775518068837045E-2</v>
      </c>
      <c r="AN19" s="188">
        <f t="shared" si="124"/>
        <v>3650518.7391743683</v>
      </c>
      <c r="AO19" s="203">
        <f t="shared" si="125"/>
        <v>0</v>
      </c>
      <c r="AP19" s="43" t="s">
        <v>8</v>
      </c>
      <c r="AQ19" s="201" t="s">
        <v>8</v>
      </c>
      <c r="AR19" s="205">
        <f t="shared" si="126"/>
        <v>0.64054382586333736</v>
      </c>
      <c r="AS19" s="202">
        <f t="shared" si="127"/>
        <v>2.6775518068837045E-2</v>
      </c>
      <c r="AT19" s="188">
        <f t="shared" si="128"/>
        <v>3650518.7391743683</v>
      </c>
      <c r="AU19" s="203">
        <f t="shared" si="129"/>
        <v>0</v>
      </c>
      <c r="AV19" s="43" t="s">
        <v>8</v>
      </c>
      <c r="AW19" s="201" t="s">
        <v>8</v>
      </c>
      <c r="AX19" s="205">
        <f t="shared" si="130"/>
        <v>0.64054382586333736</v>
      </c>
      <c r="AY19" s="202">
        <f t="shared" si="131"/>
        <v>2.6775518068837045E-2</v>
      </c>
      <c r="AZ19" s="188">
        <f t="shared" si="132"/>
        <v>3650518.7391743683</v>
      </c>
      <c r="BA19" s="203">
        <f t="shared" si="133"/>
        <v>0</v>
      </c>
      <c r="BB19" s="43" t="s">
        <v>8</v>
      </c>
      <c r="BC19" s="201" t="s">
        <v>8</v>
      </c>
      <c r="BD19" s="205">
        <f t="shared" si="134"/>
        <v>0.64054382586333736</v>
      </c>
      <c r="BE19" s="202">
        <f t="shared" si="135"/>
        <v>2.6775518068837045E-2</v>
      </c>
      <c r="BF19" s="188">
        <f t="shared" si="136"/>
        <v>3650518.7391743683</v>
      </c>
      <c r="BG19" s="203">
        <f t="shared" si="137"/>
        <v>0</v>
      </c>
      <c r="BH19" s="43" t="s">
        <v>8</v>
      </c>
      <c r="BI19" s="201" t="s">
        <v>8</v>
      </c>
      <c r="BJ19" s="205">
        <f t="shared" si="138"/>
        <v>0.64054382586333736</v>
      </c>
      <c r="BK19" s="202">
        <f t="shared" si="139"/>
        <v>2.6775518068837045E-2</v>
      </c>
      <c r="BL19" s="188">
        <f t="shared" si="140"/>
        <v>3650518.7391743683</v>
      </c>
      <c r="BM19" s="203">
        <f t="shared" si="141"/>
        <v>0</v>
      </c>
      <c r="BN19" s="43" t="s">
        <v>8</v>
      </c>
      <c r="BO19" s="201" t="s">
        <v>8</v>
      </c>
      <c r="BP19" s="205">
        <f t="shared" si="142"/>
        <v>0.64054382586333736</v>
      </c>
      <c r="BQ19" s="202">
        <f t="shared" si="143"/>
        <v>2.6775518068837045E-2</v>
      </c>
      <c r="BR19" s="188">
        <f t="shared" si="144"/>
        <v>3650518.7391743683</v>
      </c>
      <c r="BS19" s="206">
        <f t="shared" si="145"/>
        <v>0</v>
      </c>
      <c r="BT19" s="43" t="s">
        <v>8</v>
      </c>
      <c r="BU19" s="201" t="s">
        <v>8</v>
      </c>
      <c r="BV19" s="205">
        <f t="shared" si="146"/>
        <v>0.64054382586333736</v>
      </c>
      <c r="BW19" s="202">
        <f t="shared" si="147"/>
        <v>2.6775518068837045E-2</v>
      </c>
      <c r="BX19" s="188">
        <f t="shared" si="148"/>
        <v>3650518.7391743683</v>
      </c>
      <c r="BY19" s="206">
        <f t="shared" si="149"/>
        <v>0</v>
      </c>
      <c r="BZ19" s="43" t="s">
        <v>8</v>
      </c>
      <c r="CA19" s="201" t="s">
        <v>8</v>
      </c>
      <c r="CB19" s="205">
        <f t="shared" si="150"/>
        <v>0.64054382586333736</v>
      </c>
      <c r="CC19" s="202">
        <f t="shared" si="151"/>
        <v>2.6775518068837045E-2</v>
      </c>
      <c r="CD19" s="188">
        <f t="shared" si="152"/>
        <v>3650518.7391743683</v>
      </c>
      <c r="CE19" s="206">
        <f t="shared" si="153"/>
        <v>0</v>
      </c>
      <c r="CF19" s="43" t="s">
        <v>8</v>
      </c>
      <c r="CG19" s="201" t="s">
        <v>8</v>
      </c>
      <c r="CH19" s="205">
        <f t="shared" si="154"/>
        <v>0.64054382586333736</v>
      </c>
      <c r="CI19" s="202">
        <f t="shared" si="155"/>
        <v>2.6775518068837045E-2</v>
      </c>
      <c r="CJ19" s="188">
        <f t="shared" si="156"/>
        <v>3650518.7391743683</v>
      </c>
      <c r="CK19" s="206">
        <f t="shared" si="157"/>
        <v>0</v>
      </c>
      <c r="CL19" s="43" t="s">
        <v>8</v>
      </c>
      <c r="CM19" s="201" t="s">
        <v>8</v>
      </c>
      <c r="CN19" s="205">
        <f t="shared" si="158"/>
        <v>0.64054382586333736</v>
      </c>
      <c r="CO19" s="202">
        <f t="shared" si="159"/>
        <v>2.6775518068837045E-2</v>
      </c>
      <c r="CP19" s="188">
        <f t="shared" si="160"/>
        <v>3650518.7391743683</v>
      </c>
      <c r="CQ19" s="206">
        <f t="shared" si="161"/>
        <v>0</v>
      </c>
      <c r="CR19" s="43" t="s">
        <v>8</v>
      </c>
      <c r="CS19" s="201" t="s">
        <v>8</v>
      </c>
      <c r="CT19" s="205">
        <f t="shared" si="162"/>
        <v>0.64054382586333736</v>
      </c>
      <c r="CU19" s="202">
        <f t="shared" si="163"/>
        <v>2.6775518068837045E-2</v>
      </c>
      <c r="CV19" s="188">
        <f t="shared" si="164"/>
        <v>3650518.7391743683</v>
      </c>
      <c r="CW19" s="206">
        <f t="shared" si="165"/>
        <v>0</v>
      </c>
      <c r="CX19" s="43" t="s">
        <v>8</v>
      </c>
      <c r="CY19" s="201" t="s">
        <v>8</v>
      </c>
      <c r="CZ19" s="205">
        <f t="shared" si="166"/>
        <v>0.64054382586333736</v>
      </c>
      <c r="DA19" s="202">
        <f t="shared" si="167"/>
        <v>2.6775518068837045E-2</v>
      </c>
      <c r="DB19" s="188">
        <f t="shared" si="168"/>
        <v>3650518.7391743683</v>
      </c>
      <c r="DC19" s="206">
        <f t="shared" si="169"/>
        <v>0</v>
      </c>
      <c r="DD19" s="43" t="s">
        <v>8</v>
      </c>
      <c r="DE19" s="201" t="s">
        <v>8</v>
      </c>
      <c r="DF19" s="205">
        <f t="shared" si="170"/>
        <v>0.64054382586333736</v>
      </c>
      <c r="DG19" s="202">
        <f t="shared" si="171"/>
        <v>2.6775518068837045E-2</v>
      </c>
      <c r="DH19" s="188">
        <f t="shared" si="172"/>
        <v>3650518.7391743683</v>
      </c>
      <c r="DI19" s="206">
        <f t="shared" si="173"/>
        <v>0</v>
      </c>
      <c r="DJ19" s="43" t="s">
        <v>8</v>
      </c>
      <c r="DK19" s="201" t="s">
        <v>8</v>
      </c>
      <c r="DL19" s="205">
        <f t="shared" si="174"/>
        <v>0.64054382586333736</v>
      </c>
      <c r="DM19" s="202">
        <f t="shared" si="175"/>
        <v>2.6775518068837045E-2</v>
      </c>
      <c r="DN19" s="188">
        <f t="shared" si="176"/>
        <v>3650518.7391743683</v>
      </c>
      <c r="DO19" s="206">
        <f t="shared" si="177"/>
        <v>0</v>
      </c>
      <c r="DP19" s="43" t="s">
        <v>8</v>
      </c>
      <c r="DQ19" s="201" t="s">
        <v>8</v>
      </c>
      <c r="DR19" s="205">
        <f t="shared" si="178"/>
        <v>0.64054382586333736</v>
      </c>
      <c r="DS19" s="202">
        <f t="shared" si="179"/>
        <v>2.6775518068837045E-2</v>
      </c>
      <c r="DT19" s="188">
        <f t="shared" si="180"/>
        <v>3650518.7391743683</v>
      </c>
      <c r="DU19" s="206">
        <f t="shared" si="181"/>
        <v>0</v>
      </c>
      <c r="DV19" s="43" t="s">
        <v>8</v>
      </c>
      <c r="DW19" s="201" t="s">
        <v>8</v>
      </c>
      <c r="DX19" s="205">
        <f t="shared" si="182"/>
        <v>0.64054382586333736</v>
      </c>
      <c r="DY19" s="202">
        <f t="shared" si="183"/>
        <v>2.6775518068837045E-2</v>
      </c>
      <c r="DZ19" s="193">
        <f t="shared" si="184"/>
        <v>3650518.7391743683</v>
      </c>
      <c r="EA19" s="203">
        <f t="shared" si="185"/>
        <v>0</v>
      </c>
      <c r="EB19" s="43" t="s">
        <v>8</v>
      </c>
      <c r="EC19" s="201" t="s">
        <v>8</v>
      </c>
      <c r="ED19" s="205">
        <f t="shared" si="186"/>
        <v>0.64054382586333736</v>
      </c>
      <c r="EE19" s="202">
        <f t="shared" si="187"/>
        <v>2.6775518068837045E-2</v>
      </c>
      <c r="EF19" s="193">
        <f t="shared" si="188"/>
        <v>3650518.7391743683</v>
      </c>
      <c r="EG19" s="203">
        <f t="shared" si="189"/>
        <v>0</v>
      </c>
      <c r="EH19" s="43" t="s">
        <v>8</v>
      </c>
      <c r="EI19" s="201" t="s">
        <v>8</v>
      </c>
      <c r="EJ19" s="205">
        <f t="shared" si="190"/>
        <v>0.64054382586333736</v>
      </c>
      <c r="EK19" s="202">
        <f t="shared" si="191"/>
        <v>2.6775518068837045E-2</v>
      </c>
      <c r="EL19" s="193">
        <f t="shared" si="192"/>
        <v>3650518.7391743683</v>
      </c>
      <c r="EM19" s="203">
        <f t="shared" si="193"/>
        <v>0</v>
      </c>
      <c r="EN19" s="43" t="s">
        <v>8</v>
      </c>
      <c r="EO19" s="201" t="s">
        <v>8</v>
      </c>
      <c r="EP19" s="205">
        <f t="shared" si="194"/>
        <v>0.64054382586333736</v>
      </c>
      <c r="EQ19" s="202">
        <f t="shared" si="195"/>
        <v>2.6775518068837045E-2</v>
      </c>
      <c r="ER19" s="193">
        <f t="shared" si="196"/>
        <v>3650518.7391743683</v>
      </c>
      <c r="ES19" s="203">
        <f t="shared" si="197"/>
        <v>0</v>
      </c>
      <c r="ET19" s="43" t="s">
        <v>8</v>
      </c>
      <c r="EU19" s="201" t="s">
        <v>8</v>
      </c>
      <c r="EV19" s="205">
        <f t="shared" si="198"/>
        <v>0.64054382586333736</v>
      </c>
      <c r="EW19" s="202">
        <f t="shared" si="199"/>
        <v>2.6775518068837045E-2</v>
      </c>
      <c r="EX19" s="193">
        <f t="shared" si="200"/>
        <v>3650518.7391743683</v>
      </c>
      <c r="EY19" s="203">
        <f t="shared" si="201"/>
        <v>0</v>
      </c>
      <c r="EZ19" s="43" t="s">
        <v>8</v>
      </c>
      <c r="FA19" s="201" t="s">
        <v>8</v>
      </c>
      <c r="FB19" s="205">
        <f t="shared" si="202"/>
        <v>0.64054382586333736</v>
      </c>
      <c r="FC19" s="202">
        <f t="shared" si="203"/>
        <v>2.6775518068837045E-2</v>
      </c>
      <c r="FD19" s="193">
        <f t="shared" si="204"/>
        <v>3650518.7391743683</v>
      </c>
      <c r="FE19" s="203">
        <f t="shared" si="205"/>
        <v>0</v>
      </c>
      <c r="FF19" s="43" t="s">
        <v>8</v>
      </c>
      <c r="FG19" s="201" t="s">
        <v>8</v>
      </c>
      <c r="FH19" s="205">
        <f t="shared" si="206"/>
        <v>0.64054382586333736</v>
      </c>
      <c r="FI19" s="202">
        <f t="shared" si="207"/>
        <v>2.6775518068837045E-2</v>
      </c>
      <c r="FJ19" s="193">
        <f t="shared" si="208"/>
        <v>3650518.7391743683</v>
      </c>
      <c r="FK19" s="203">
        <f t="shared" si="209"/>
        <v>0</v>
      </c>
      <c r="FL19" s="43" t="s">
        <v>8</v>
      </c>
      <c r="FM19" s="201" t="s">
        <v>8</v>
      </c>
      <c r="FN19" s="205">
        <f t="shared" si="210"/>
        <v>0.64054382586333736</v>
      </c>
      <c r="FO19" s="202">
        <f t="shared" si="211"/>
        <v>2.6775518068837045E-2</v>
      </c>
      <c r="FP19" s="193">
        <f t="shared" si="212"/>
        <v>3650518.7391743683</v>
      </c>
      <c r="FQ19" s="203">
        <f t="shared" si="213"/>
        <v>0</v>
      </c>
      <c r="FR19" s="43" t="s">
        <v>8</v>
      </c>
      <c r="FS19" s="201" t="s">
        <v>8</v>
      </c>
      <c r="FT19" s="205">
        <f t="shared" si="214"/>
        <v>0.64054382586333736</v>
      </c>
      <c r="FU19" s="202">
        <f t="shared" si="215"/>
        <v>2.6775518068837045E-2</v>
      </c>
      <c r="FV19" s="193">
        <f t="shared" si="216"/>
        <v>3650518.7391743683</v>
      </c>
      <c r="FW19" s="203">
        <f t="shared" si="217"/>
        <v>0</v>
      </c>
      <c r="FX19" s="43" t="s">
        <v>8</v>
      </c>
      <c r="FY19" s="201" t="s">
        <v>8</v>
      </c>
      <c r="FZ19" s="205">
        <f t="shared" si="218"/>
        <v>0.64054382586333736</v>
      </c>
      <c r="GA19" s="202">
        <f t="shared" si="219"/>
        <v>2.6775518068837045E-2</v>
      </c>
      <c r="GB19" s="193">
        <f t="shared" si="220"/>
        <v>3650518.7391743683</v>
      </c>
      <c r="GC19" s="203">
        <f t="shared" si="221"/>
        <v>0</v>
      </c>
      <c r="GD19" s="43" t="s">
        <v>8</v>
      </c>
      <c r="GE19" s="201" t="s">
        <v>8</v>
      </c>
      <c r="GF19" s="205">
        <f t="shared" si="222"/>
        <v>0.64054382586333736</v>
      </c>
      <c r="GG19" s="202">
        <f t="shared" si="223"/>
        <v>2.6775518068837045E-2</v>
      </c>
      <c r="GH19" s="193">
        <f t="shared" si="224"/>
        <v>3650518.7391743683</v>
      </c>
      <c r="GI19" s="206">
        <f t="shared" si="225"/>
        <v>0</v>
      </c>
      <c r="GJ19" s="158">
        <f t="shared" si="228"/>
        <v>0</v>
      </c>
      <c r="GK19" s="208">
        <f t="shared" si="226"/>
        <v>18684322.512644589</v>
      </c>
      <c r="GL19" s="83">
        <f t="shared" si="227"/>
        <v>0.64054382586333725</v>
      </c>
    </row>
    <row r="20" spans="1:195" s="31" customFormat="1" ht="16.5" thickBot="1">
      <c r="A20" s="106" t="s">
        <v>6</v>
      </c>
      <c r="B20" s="130">
        <v>42659642</v>
      </c>
      <c r="C20" s="127">
        <v>76</v>
      </c>
      <c r="D20" s="78">
        <f>B20*C20/100</f>
        <v>32421327.920000002</v>
      </c>
      <c r="E20" s="112">
        <f>100-C20</f>
        <v>24</v>
      </c>
      <c r="F20" s="78">
        <f>B20-D20</f>
        <v>10238314.079999998</v>
      </c>
      <c r="G20" s="111">
        <f>SUM(G9:G19)</f>
        <v>38350</v>
      </c>
      <c r="H20" s="111">
        <f>SUM(H9:H19)</f>
        <v>66529145</v>
      </c>
      <c r="I20" s="49" t="s">
        <v>8</v>
      </c>
      <c r="J20" s="164">
        <f>H20/G20</f>
        <v>1734.7886571056063</v>
      </c>
      <c r="K20" s="121" t="s">
        <v>8</v>
      </c>
      <c r="L20" s="76">
        <f>SUM(L9:L19)</f>
        <v>32421327.919999998</v>
      </c>
      <c r="M20" s="73" t="s">
        <v>8</v>
      </c>
      <c r="N20" s="50">
        <f>(SUMIF(M9:M19,"&lt;1")+1)/(COUNTIFS(M9:M19,"&lt;1")+1)</f>
        <v>0.55912285790824523</v>
      </c>
      <c r="O20" s="51" t="s">
        <v>8</v>
      </c>
      <c r="P20" s="48">
        <f>SUM(P9:P19)</f>
        <v>11153716.564947663</v>
      </c>
      <c r="Q20" s="48">
        <f>SUM(Q9:Q19)</f>
        <v>10238314.079999998</v>
      </c>
      <c r="R20" s="84">
        <f>F20-Q20</f>
        <v>0</v>
      </c>
      <c r="S20" s="50">
        <f>(SUMIF(T9:T19,"&lt;1")+1)/(COUNTIFS(T9:T19,"&lt;1")+1)</f>
        <v>0.6673193439321744</v>
      </c>
      <c r="T20" s="51" t="s">
        <v>8</v>
      </c>
      <c r="U20" s="51" t="s">
        <v>8</v>
      </c>
      <c r="V20" s="48">
        <f>SUM(V9:V19)</f>
        <v>11266356.12067719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0.6673193439321744</v>
      </c>
      <c r="Z20" s="51" t="s">
        <v>8</v>
      </c>
      <c r="AA20" s="51" t="s">
        <v>8</v>
      </c>
      <c r="AB20" s="48">
        <f>SUM(AB9:AB19)</f>
        <v>11266356.12067719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0.6673193439321744</v>
      </c>
      <c r="AF20" s="51" t="s">
        <v>8</v>
      </c>
      <c r="AG20" s="51" t="s">
        <v>8</v>
      </c>
      <c r="AH20" s="48">
        <f>SUM(AH9:AH19)</f>
        <v>11266356.12067719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0.6673193439321744</v>
      </c>
      <c r="AL20" s="51" t="s">
        <v>8</v>
      </c>
      <c r="AM20" s="51" t="s">
        <v>8</v>
      </c>
      <c r="AN20" s="48">
        <f>SUM(AN9:AN19)</f>
        <v>11266356.12067719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0.6673193439321744</v>
      </c>
      <c r="AR20" s="51" t="s">
        <v>8</v>
      </c>
      <c r="AS20" s="51" t="s">
        <v>8</v>
      </c>
      <c r="AT20" s="48">
        <f>SUM(AT9:AT19)</f>
        <v>11266356.12067719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0.6673193439321744</v>
      </c>
      <c r="AX20" s="51" t="s">
        <v>8</v>
      </c>
      <c r="AY20" s="51" t="s">
        <v>8</v>
      </c>
      <c r="AZ20" s="48">
        <f>SUM(AZ9:AZ19)</f>
        <v>11266356.12067719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0.6673193439321744</v>
      </c>
      <c r="BD20" s="51" t="s">
        <v>8</v>
      </c>
      <c r="BE20" s="51" t="s">
        <v>8</v>
      </c>
      <c r="BF20" s="48">
        <f>SUM(BF9:BF19)</f>
        <v>11266356.12067719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0.6673193439321744</v>
      </c>
      <c r="BJ20" s="51" t="s">
        <v>8</v>
      </c>
      <c r="BK20" s="51" t="s">
        <v>8</v>
      </c>
      <c r="BL20" s="48">
        <f>SUM(BL9:BL19)</f>
        <v>11266356.12067719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0.6673193439321744</v>
      </c>
      <c r="BP20" s="51" t="s">
        <v>8</v>
      </c>
      <c r="BQ20" s="51" t="s">
        <v>8</v>
      </c>
      <c r="BR20" s="48">
        <f>SUM(BR9:BR19)</f>
        <v>11266356.12067719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0.6673193439321744</v>
      </c>
      <c r="BV20" s="51" t="s">
        <v>8</v>
      </c>
      <c r="BW20" s="51" t="s">
        <v>8</v>
      </c>
      <c r="BX20" s="48">
        <f>SUM(BX9:BX19)</f>
        <v>11266356.12067719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0.6673193439321744</v>
      </c>
      <c r="CB20" s="51" t="s">
        <v>8</v>
      </c>
      <c r="CC20" s="51" t="s">
        <v>8</v>
      </c>
      <c r="CD20" s="48">
        <f>SUM(CD9:CD19)</f>
        <v>11266356.12067719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0.6673193439321744</v>
      </c>
      <c r="CH20" s="51" t="s">
        <v>8</v>
      </c>
      <c r="CI20" s="51" t="s">
        <v>8</v>
      </c>
      <c r="CJ20" s="48">
        <f>SUM(CJ9:CJ19)</f>
        <v>11266356.12067719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0.6673193439321744</v>
      </c>
      <c r="CN20" s="51" t="s">
        <v>8</v>
      </c>
      <c r="CO20" s="51" t="s">
        <v>8</v>
      </c>
      <c r="CP20" s="48">
        <f>SUM(CP9:CP19)</f>
        <v>11266356.12067719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0.6673193439321744</v>
      </c>
      <c r="CT20" s="51" t="s">
        <v>8</v>
      </c>
      <c r="CU20" s="51" t="s">
        <v>8</v>
      </c>
      <c r="CV20" s="48">
        <f>SUM(CV9:CV19)</f>
        <v>11266356.12067719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0.6673193439321744</v>
      </c>
      <c r="CZ20" s="51" t="s">
        <v>8</v>
      </c>
      <c r="DA20" s="51" t="s">
        <v>8</v>
      </c>
      <c r="DB20" s="48">
        <f>SUM(DB9:DB19)</f>
        <v>11266356.12067719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0.6673193439321744</v>
      </c>
      <c r="DF20" s="51" t="s">
        <v>8</v>
      </c>
      <c r="DG20" s="51" t="s">
        <v>8</v>
      </c>
      <c r="DH20" s="48">
        <f>SUM(DH9:DH19)</f>
        <v>11266356.12067719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0.6673193439321744</v>
      </c>
      <c r="DL20" s="51" t="s">
        <v>8</v>
      </c>
      <c r="DM20" s="51" t="s">
        <v>8</v>
      </c>
      <c r="DN20" s="48">
        <f>SUM(DN9:DN19)</f>
        <v>11266356.12067719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0.6673193439321744</v>
      </c>
      <c r="DR20" s="51" t="s">
        <v>8</v>
      </c>
      <c r="DS20" s="51" t="s">
        <v>8</v>
      </c>
      <c r="DT20" s="48">
        <f>SUM(DT9:DT19)</f>
        <v>11266356.12067719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0.6673193439321744</v>
      </c>
      <c r="DX20" s="51" t="s">
        <v>8</v>
      </c>
      <c r="DY20" s="51" t="s">
        <v>8</v>
      </c>
      <c r="DZ20" s="152">
        <f>SUM(DZ9:DZ19)</f>
        <v>11266356.12067719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0.6673193439321744</v>
      </c>
      <c r="ED20" s="51" t="s">
        <v>8</v>
      </c>
      <c r="EE20" s="51" t="s">
        <v>8</v>
      </c>
      <c r="EF20" s="152">
        <f>SUM(EF9:EF19)</f>
        <v>11266356.12067719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0.6673193439321744</v>
      </c>
      <c r="EJ20" s="51" t="s">
        <v>8</v>
      </c>
      <c r="EK20" s="51" t="s">
        <v>8</v>
      </c>
      <c r="EL20" s="152">
        <f>SUM(EL9:EL19)</f>
        <v>11266356.12067719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0.6673193439321744</v>
      </c>
      <c r="EP20" s="51" t="s">
        <v>8</v>
      </c>
      <c r="EQ20" s="51" t="s">
        <v>8</v>
      </c>
      <c r="ER20" s="152">
        <f>SUM(ER9:ER19)</f>
        <v>11266356.12067719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0.6673193439321744</v>
      </c>
      <c r="EV20" s="51" t="s">
        <v>8</v>
      </c>
      <c r="EW20" s="51" t="s">
        <v>8</v>
      </c>
      <c r="EX20" s="152">
        <f>SUM(EX9:EX19)</f>
        <v>11266356.12067719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0.6673193439321744</v>
      </c>
      <c r="FB20" s="51" t="s">
        <v>8</v>
      </c>
      <c r="FC20" s="51" t="s">
        <v>8</v>
      </c>
      <c r="FD20" s="152">
        <f>SUM(FD9:FD19)</f>
        <v>11266356.12067719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0.6673193439321744</v>
      </c>
      <c r="FH20" s="51" t="s">
        <v>8</v>
      </c>
      <c r="FI20" s="51" t="s">
        <v>8</v>
      </c>
      <c r="FJ20" s="152">
        <f>SUM(FJ9:FJ19)</f>
        <v>11266356.12067719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0.6673193439321744</v>
      </c>
      <c r="FN20" s="51" t="s">
        <v>8</v>
      </c>
      <c r="FO20" s="51" t="s">
        <v>8</v>
      </c>
      <c r="FP20" s="152">
        <f>SUM(FP9:FP19)</f>
        <v>11266356.12067719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0.6673193439321744</v>
      </c>
      <c r="FT20" s="51" t="s">
        <v>8</v>
      </c>
      <c r="FU20" s="51" t="s">
        <v>8</v>
      </c>
      <c r="FV20" s="152">
        <f>SUM(FV9:FV19)</f>
        <v>11266356.12067719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0.6673193439321744</v>
      </c>
      <c r="FZ20" s="51" t="s">
        <v>8</v>
      </c>
      <c r="GA20" s="51" t="s">
        <v>8</v>
      </c>
      <c r="GB20" s="152">
        <f>SUM(GB9:GB19)</f>
        <v>11266356.12067719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0.6673193439321744</v>
      </c>
      <c r="GF20" s="51" t="s">
        <v>8</v>
      </c>
      <c r="GG20" s="51" t="s">
        <v>8</v>
      </c>
      <c r="GH20" s="152">
        <f>SUM(GH9:GH19)</f>
        <v>11266356.12067719</v>
      </c>
      <c r="GI20" s="48">
        <f>SUM(GI9:GI19)</f>
        <v>0</v>
      </c>
      <c r="GJ20" s="167">
        <f>SUM(GJ9:GJ19)</f>
        <v>10238314.079999998</v>
      </c>
      <c r="GK20" s="168">
        <f t="shared" si="226"/>
        <v>42659642</v>
      </c>
      <c r="GL20" s="169" t="s">
        <v>8</v>
      </c>
      <c r="GM20" s="27"/>
    </row>
    <row r="22" spans="1:195">
      <c r="P22" s="26"/>
    </row>
    <row r="24" spans="1:195">
      <c r="GJ24" s="133"/>
      <c r="GK24" s="133"/>
    </row>
    <row r="25" spans="1:195">
      <c r="M25" s="25"/>
    </row>
  </sheetData>
  <protectedRanges>
    <protectedRange sqref="A9:A19" name="Диапазон3_1"/>
    <protectedRange sqref="A9:A19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2021-11-09T08:26:54Z</cp:lastPrinted>
  <dcterms:created xsi:type="dcterms:W3CDTF">2013-11-15T09:40:24Z</dcterms:created>
  <dcterms:modified xsi:type="dcterms:W3CDTF">2021-11-09T08:26:56Z</dcterms:modified>
</cp:coreProperties>
</file>